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aPasta_de_trabalho" hidePivotFieldList="1"/>
  <mc:AlternateContent xmlns:mc="http://schemas.openxmlformats.org/markup-compatibility/2006">
    <mc:Choice Requires="x15">
      <x15ac:absPath xmlns:x15ac="http://schemas.microsoft.com/office/spreadsheetml/2010/11/ac" url="C:\Users\jsteixeira\Desktop\Nova pasta (2)\"/>
    </mc:Choice>
  </mc:AlternateContent>
  <bookViews>
    <workbookView xWindow="2115" yWindow="210" windowWidth="14340" windowHeight="11730" tabRatio="825" activeTab="1"/>
  </bookViews>
  <sheets>
    <sheet name="INSTRUÇÕES" sheetId="28" r:id="rId1"/>
    <sheet name="BANCO DADOS-CUSTO TOTAL" sheetId="20" r:id="rId2"/>
    <sheet name="REL. VA E VT" sheetId="11" state="hidden" r:id="rId3"/>
    <sheet name="REL. VT" sheetId="19" state="hidden" r:id="rId4"/>
    <sheet name="CIDADE" sheetId="13" state="hidden" r:id="rId5"/>
    <sheet name="PARAMETROS" sheetId="77" r:id="rId6"/>
    <sheet name="ISS" sheetId="78" r:id="rId7"/>
    <sheet name="RESUMO FATURAMENTO MENSAL" sheetId="30" state="hidden" r:id="rId8"/>
    <sheet name="Parametro e CCT" sheetId="24" state="hidden" r:id="rId9"/>
    <sheet name="Plan. Trib." sheetId="14" state="hidden" r:id="rId10"/>
    <sheet name="Uniforme Apoio" sheetId="25" state="hidden" r:id="rId11"/>
    <sheet name="Custo salário remuneração" sheetId="29" state="hidden" r:id="rId12"/>
    <sheet name="VA E VT - APOIO.LIMPEZA" sheetId="54" r:id="rId13"/>
    <sheet name="Repactuação conta vinculada " sheetId="23" r:id="rId14"/>
    <sheet name="Plan4" sheetId="76" state="hidden"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xlcn.WorksheetConnection_BANCODADOSCUSTOTOTALA10CC9511" hidden="1">'BANCO DADOS-CUSTO TOTAL'!$A$10:$CB$143</definedName>
    <definedName name="_1Excel_BuiltIn__FilterDatabase_1_1" localSheetId="10">#REF!</definedName>
    <definedName name="_1Excel_BuiltIn__FilterDatabase_1_1" localSheetId="12">#REF!</definedName>
    <definedName name="_1Excel_BuiltIn__FilterDatabase_1_1">#REF!</definedName>
    <definedName name="_xlnm._FilterDatabase" localSheetId="1" hidden="1">'BANCO DADOS-CUSTO TOTAL'!$A$10:$CQ$157</definedName>
    <definedName name="_xlnm._FilterDatabase" localSheetId="14" hidden="1">Plan4!$A$1:$B$924</definedName>
    <definedName name="_xlnm._FilterDatabase" localSheetId="2" hidden="1">'REL. VA E VT'!$A$1:$CP$105</definedName>
    <definedName name="_xlnm._FilterDatabase" localSheetId="3" hidden="1">'REL. VT'!$A$1:$BN$33</definedName>
    <definedName name="_xlnm._FilterDatabase" localSheetId="13" hidden="1">'Repactuação conta vinculada '!$A$10:$GK$126</definedName>
    <definedName name="_xlnm._FilterDatabase" localSheetId="10" hidden="1">'Uniforme Apoio'!$A$8:$BL$41</definedName>
    <definedName name="_xlnm._FilterDatabase" localSheetId="12" hidden="1">'VA E VT - APOIO.LIMPEZA'!$A$11:$AG$156</definedName>
    <definedName name="ALVES_5" localSheetId="1">'[1]Interior - Motoristas - VT'!#REF!</definedName>
    <definedName name="ALVES_5" localSheetId="4">#REF!</definedName>
    <definedName name="ALVES_5" localSheetId="12">'[1]Interior - Motoristas - VT'!#REF!</definedName>
    <definedName name="ALVES_5">'[1]Interior - Motoristas - VT'!#REF!</definedName>
    <definedName name="ALVES3_6" localSheetId="1">'[1]Interior - Motoristas - VT'!#REF!</definedName>
    <definedName name="ALVES3_6" localSheetId="4">#REF!</definedName>
    <definedName name="ALVES3_6" localSheetId="12">'[1]Interior - Motoristas - VT'!#REF!</definedName>
    <definedName name="ALVES3_6">'[1]Interior - Motoristas - VT'!#REF!</definedName>
    <definedName name="ALVES4_5" localSheetId="4">#REF!</definedName>
    <definedName name="ALVES4_5">#REF!</definedName>
    <definedName name="ALVES4_8" localSheetId="1">'[1]Interior - Motoristas - VT'!#REF!</definedName>
    <definedName name="ALVES4_8" localSheetId="4">#REF!</definedName>
    <definedName name="ALVES4_8">'[1]Interior - Motoristas - VT'!#REF!</definedName>
    <definedName name="ALVES5_6" localSheetId="4">#REF!</definedName>
    <definedName name="ALVES5_6">#REF!</definedName>
    <definedName name="ALVES5_7">#REF!</definedName>
    <definedName name="ALVES6_7">#REF!</definedName>
    <definedName name="ALVES6_8" localSheetId="4">#REF!</definedName>
    <definedName name="ALVES6_8">#REF!</definedName>
    <definedName name="_xlnm.Print_Area" localSheetId="1">'BANCO DADOS-CUSTO TOTAL'!$A$1:$CC$79</definedName>
    <definedName name="_xlnm.Print_Area" localSheetId="11">'Custo salário remuneração'!$A$1:$D$30</definedName>
    <definedName name="_xlnm.Print_Area" localSheetId="0">INSTRUÇÕES!$A$50:$U$92</definedName>
    <definedName name="_xlnm.Print_Area" localSheetId="12">'VA E VT - APOIO.LIMPEZA'!$A$2:$Y$160</definedName>
    <definedName name="AS" localSheetId="4">NA()</definedName>
    <definedName name="AS" localSheetId="11">'[2]CUSTO LOTE 1'!$E$3:$L$142</definedName>
    <definedName name="AS">#REF!</definedName>
    <definedName name="AS_4">NA()</definedName>
    <definedName name="AS_5">NA()</definedName>
    <definedName name="AS_6">NA()</definedName>
    <definedName name="BASE1_4">#REF!</definedName>
    <definedName name="BASE2_5">#REF!</definedName>
    <definedName name="BD">'BANCO DADOS-CUSTO TOTAL'!$A$10:$CD$79</definedName>
    <definedName name="cidades" localSheetId="4">NA()</definedName>
    <definedName name="cidades" localSheetId="11">[3]Parâmetro!$A$26:$A$112</definedName>
    <definedName name="cidades" localSheetId="10">[4]Parâmetro!$B$62:$B$142</definedName>
    <definedName name="cidades">#REF!</definedName>
    <definedName name="cidades_4">NA()</definedName>
    <definedName name="cidades_5">NA()</definedName>
    <definedName name="cidades_6">NA()</definedName>
    <definedName name="Cidades_Lote_1" localSheetId="11">#REF!</definedName>
    <definedName name="Cidades_Lote_1">#REF!</definedName>
    <definedName name="Cidades_Lote_2" localSheetId="11">#REF!</definedName>
    <definedName name="Cidades_Lote_2">#REF!</definedName>
    <definedName name="conven" localSheetId="4">NA()</definedName>
    <definedName name="conven" localSheetId="11">[3]Parâmetro!$A$2:$A$23</definedName>
    <definedName name="conven" localSheetId="10">[4]Parâmetro!$B$3:$B$34</definedName>
    <definedName name="conven">#REF!</definedName>
    <definedName name="conven_4">NA()</definedName>
    <definedName name="conven_5">NA()</definedName>
    <definedName name="conven_6">NA()</definedName>
    <definedName name="convencoes" localSheetId="4">NA()</definedName>
    <definedName name="convencoes" localSheetId="11">[3]Parâmetro!$A$2:$F$23</definedName>
    <definedName name="convencoes">#REF!</definedName>
    <definedName name="convenções">[5]PARÂMETRO!$B$3:$B$26</definedName>
    <definedName name="convencoes_4">NA()</definedName>
    <definedName name="convencoes_5">NA()</definedName>
    <definedName name="convencoes_6">NA()</definedName>
    <definedName name="CUSTO" localSheetId="1">#REF!</definedName>
    <definedName name="CUSTO" localSheetId="4">NA()</definedName>
    <definedName name="CUSTO">#REF!</definedName>
    <definedName name="CUSTO_4">NA()</definedName>
    <definedName name="CUSTO_5">NA()</definedName>
    <definedName name="CUSTO_6">NA()</definedName>
    <definedName name="CUSTO2" localSheetId="4">NA()</definedName>
    <definedName name="CUSTO2" localSheetId="11">'[6]CUSTO LOTE 2'!$D$3:$K$147</definedName>
    <definedName name="CUSTO2">#REF!</definedName>
    <definedName name="CUSTO2_4">NA()</definedName>
    <definedName name="CUSTO2_5">NA()</definedName>
    <definedName name="CUSTO2_6">NA()</definedName>
    <definedName name="DEDUÇÃO_5" localSheetId="1">#REF!</definedName>
    <definedName name="DEDUÇÃO_5" localSheetId="4">#REF!</definedName>
    <definedName name="DEDUÇÃO_5">#REF!</definedName>
    <definedName name="DEDUÇÕES_5" localSheetId="1">#REF!</definedName>
    <definedName name="DEDUÇÕES_5" localSheetId="4">#REF!</definedName>
    <definedName name="DEDUÇÕES_5">#REF!</definedName>
    <definedName name="DEDUZ_6" localSheetId="1">#REF!</definedName>
    <definedName name="DEDUZ_6" localSheetId="4">#REF!</definedName>
    <definedName name="DEDUZ_6">#REF!</definedName>
    <definedName name="DEDUZIR_5" localSheetId="1">#REF!</definedName>
    <definedName name="DEDUZIR_5" localSheetId="4">#REF!</definedName>
    <definedName name="DEDUZIR_5">#REF!</definedName>
    <definedName name="Excel_BuiltIn__FilterDatabase" localSheetId="4">NA()</definedName>
    <definedName name="Excel_BuiltIn__FilterDatabase" localSheetId="11">#REF!</definedName>
    <definedName name="Excel_BuiltIn__FilterDatabase" localSheetId="10">#REF!</definedName>
    <definedName name="Excel_BuiltIn__FilterDatabase">#REF!</definedName>
    <definedName name="Excel_BuiltIn__FilterDatabase_1" localSheetId="4">NA()</definedName>
    <definedName name="Excel_BuiltIn__FilterDatabase_1" localSheetId="11">#REF!</definedName>
    <definedName name="Excel_BuiltIn__FilterDatabase_1" localSheetId="10">#REF!</definedName>
    <definedName name="Excel_BuiltIn__FilterDatabase_1">#REF!</definedName>
    <definedName name="Excel_BuiltIn__FilterDatabase_1_1" localSheetId="11">#REF!</definedName>
    <definedName name="Excel_BuiltIn__FilterDatabase_1_1">#REF!</definedName>
    <definedName name="Excel_BuiltIn__FilterDatabase_1_10" localSheetId="11">#REF!</definedName>
    <definedName name="Excel_BuiltIn__FilterDatabase_1_10">#REF!</definedName>
    <definedName name="Excel_BuiltIn__FilterDatabase_1_11" localSheetId="11">#REF!</definedName>
    <definedName name="Excel_BuiltIn__FilterDatabase_1_11">#REF!</definedName>
    <definedName name="Excel_BuiltIn__FilterDatabase_1_12" localSheetId="11">#REF!</definedName>
    <definedName name="Excel_BuiltIn__FilterDatabase_1_12">#REF!</definedName>
    <definedName name="Excel_BuiltIn__FilterDatabase_1_13" localSheetId="11">#REF!</definedName>
    <definedName name="Excel_BuiltIn__FilterDatabase_1_13">#REF!</definedName>
    <definedName name="Excel_BuiltIn__FilterDatabase_1_14" localSheetId="11">#REF!</definedName>
    <definedName name="Excel_BuiltIn__FilterDatabase_1_14">#REF!</definedName>
    <definedName name="Excel_BuiltIn__FilterDatabase_1_15" localSheetId="11">#REF!</definedName>
    <definedName name="Excel_BuiltIn__FilterDatabase_1_15">#REF!</definedName>
    <definedName name="Excel_BuiltIn__FilterDatabase_1_16" localSheetId="11">#REF!</definedName>
    <definedName name="Excel_BuiltIn__FilterDatabase_1_16">#REF!</definedName>
    <definedName name="Excel_BuiltIn__FilterDatabase_1_17" localSheetId="11">#REF!</definedName>
    <definedName name="Excel_BuiltIn__FilterDatabase_1_17">#REF!</definedName>
    <definedName name="Excel_BuiltIn__FilterDatabase_1_18" localSheetId="11">#REF!</definedName>
    <definedName name="Excel_BuiltIn__FilterDatabase_1_18">#REF!</definedName>
    <definedName name="Excel_BuiltIn__FilterDatabase_1_19" localSheetId="11">#REF!</definedName>
    <definedName name="Excel_BuiltIn__FilterDatabase_1_19">#REF!</definedName>
    <definedName name="Excel_BuiltIn__FilterDatabase_1_2" localSheetId="11">#REF!</definedName>
    <definedName name="Excel_BuiltIn__FilterDatabase_1_2">#REF!</definedName>
    <definedName name="Excel_BuiltIn__FilterDatabase_1_20" localSheetId="11">#REF!</definedName>
    <definedName name="Excel_BuiltIn__FilterDatabase_1_20">#REF!</definedName>
    <definedName name="Excel_BuiltIn__FilterDatabase_1_21" localSheetId="11">#REF!</definedName>
    <definedName name="Excel_BuiltIn__FilterDatabase_1_21">#REF!</definedName>
    <definedName name="Excel_BuiltIn__FilterDatabase_1_22" localSheetId="11">#REF!</definedName>
    <definedName name="Excel_BuiltIn__FilterDatabase_1_22">#REF!</definedName>
    <definedName name="Excel_BuiltIn__FilterDatabase_1_3" localSheetId="11">#REF!</definedName>
    <definedName name="Excel_BuiltIn__FilterDatabase_1_3">#REF!</definedName>
    <definedName name="Excel_BuiltIn__FilterDatabase_1_4" localSheetId="11">#REF!</definedName>
    <definedName name="Excel_BuiltIn__FilterDatabase_1_4" localSheetId="10">#REF!</definedName>
    <definedName name="Excel_BuiltIn__FilterDatabase_1_4">NA()</definedName>
    <definedName name="Excel_BuiltIn__FilterDatabase_1_5" localSheetId="11">#REF!</definedName>
    <definedName name="Excel_BuiltIn__FilterDatabase_1_5" localSheetId="10">#REF!</definedName>
    <definedName name="Excel_BuiltIn__FilterDatabase_1_5">NA()</definedName>
    <definedName name="Excel_BuiltIn__FilterDatabase_1_6" localSheetId="11">#REF!</definedName>
    <definedName name="Excel_BuiltIn__FilterDatabase_1_6" localSheetId="10">#REF!</definedName>
    <definedName name="Excel_BuiltIn__FilterDatabase_1_6">NA()</definedName>
    <definedName name="Excel_BuiltIn__FilterDatabase_1_7" localSheetId="11">#REF!</definedName>
    <definedName name="Excel_BuiltIn__FilterDatabase_1_7" localSheetId="10">#REF!</definedName>
    <definedName name="Excel_BuiltIn__FilterDatabase_1_7">#REF!</definedName>
    <definedName name="Excel_BuiltIn__FilterDatabase_1_8" localSheetId="11">#REF!</definedName>
    <definedName name="Excel_BuiltIn__FilterDatabase_1_8">#REF!</definedName>
    <definedName name="Excel_BuiltIn__FilterDatabase_1_9" localSheetId="11">#REF!</definedName>
    <definedName name="Excel_BuiltIn__FilterDatabase_1_9">#REF!</definedName>
    <definedName name="Excel_BuiltIn__FilterDatabase_10" localSheetId="11">#REF!</definedName>
    <definedName name="Excel_BuiltIn__FilterDatabase_10">#REF!</definedName>
    <definedName name="Excel_BuiltIn__FilterDatabase_11" localSheetId="11">#REF!</definedName>
    <definedName name="Excel_BuiltIn__FilterDatabase_11">#REF!</definedName>
    <definedName name="Excel_BuiltIn__FilterDatabase_12" localSheetId="11">#REF!</definedName>
    <definedName name="Excel_BuiltIn__FilterDatabase_12">#REF!</definedName>
    <definedName name="Excel_BuiltIn__FilterDatabase_13" localSheetId="11">#REF!</definedName>
    <definedName name="Excel_BuiltIn__FilterDatabase_13">#REF!</definedName>
    <definedName name="Excel_BuiltIn__FilterDatabase_14" localSheetId="11">#REF!</definedName>
    <definedName name="Excel_BuiltIn__FilterDatabase_14">#REF!</definedName>
    <definedName name="Excel_BuiltIn__FilterDatabase_15" localSheetId="11">#REF!</definedName>
    <definedName name="Excel_BuiltIn__FilterDatabase_15">#REF!</definedName>
    <definedName name="Excel_BuiltIn__FilterDatabase_16" localSheetId="11">#REF!</definedName>
    <definedName name="Excel_BuiltIn__FilterDatabase_16">#REF!</definedName>
    <definedName name="Excel_BuiltIn__FilterDatabase_17" localSheetId="11">#REF!</definedName>
    <definedName name="Excel_BuiltIn__FilterDatabase_17">#REF!</definedName>
    <definedName name="Excel_BuiltIn__FilterDatabase_18" localSheetId="11">#REF!</definedName>
    <definedName name="Excel_BuiltIn__FilterDatabase_18">#REF!</definedName>
    <definedName name="Excel_BuiltIn__FilterDatabase_19" localSheetId="11">#REF!</definedName>
    <definedName name="Excel_BuiltIn__FilterDatabase_19">#REF!</definedName>
    <definedName name="Excel_BuiltIn__FilterDatabase_2" localSheetId="11">#REF!</definedName>
    <definedName name="Excel_BuiltIn__FilterDatabase_2">#REF!</definedName>
    <definedName name="Excel_BuiltIn__FilterDatabase_20" localSheetId="11">#REF!</definedName>
    <definedName name="Excel_BuiltIn__FilterDatabase_20">#REF!</definedName>
    <definedName name="Excel_BuiltIn__FilterDatabase_21" localSheetId="11">#REF!</definedName>
    <definedName name="Excel_BuiltIn__FilterDatabase_21">#REF!</definedName>
    <definedName name="Excel_BuiltIn__FilterDatabase_22" localSheetId="11">#REF!</definedName>
    <definedName name="Excel_BuiltIn__FilterDatabase_22">#REF!</definedName>
    <definedName name="Excel_BuiltIn__FilterDatabase_3" localSheetId="4">#REF!</definedName>
    <definedName name="Excel_BuiltIn__FilterDatabase_3" localSheetId="11">#REF!</definedName>
    <definedName name="Excel_BuiltIn__FilterDatabase_3">#REF!</definedName>
    <definedName name="Excel_BuiltIn__FilterDatabase_4" localSheetId="4">#REF!</definedName>
    <definedName name="Excel_BuiltIn__FilterDatabase_4" localSheetId="11">#REF!</definedName>
    <definedName name="Excel_BuiltIn__FilterDatabase_4">#REF!</definedName>
    <definedName name="Excel_BuiltIn__FilterDatabase_4_1">NA()</definedName>
    <definedName name="Excel_BuiltIn__FilterDatabase_4_4">NA()</definedName>
    <definedName name="Excel_BuiltIn__FilterDatabase_4_5">NA()</definedName>
    <definedName name="Excel_BuiltIn__FilterDatabase_5" localSheetId="4">#REF!</definedName>
    <definedName name="Excel_BuiltIn__FilterDatabase_5" localSheetId="11">#REF!</definedName>
    <definedName name="Excel_BuiltIn__FilterDatabase_5">#REF!</definedName>
    <definedName name="Excel_BuiltIn__FilterDatabase_5_1">NA()</definedName>
    <definedName name="Excel_BuiltIn__FilterDatabase_5_1_1">#REF!</definedName>
    <definedName name="Excel_BuiltIn__FilterDatabase_5_4">NA()</definedName>
    <definedName name="Excel_BuiltIn__FilterDatabase_5_5">NA()</definedName>
    <definedName name="Excel_BuiltIn__FilterDatabase_6" localSheetId="4">#REF!</definedName>
    <definedName name="Excel_BuiltIn__FilterDatabase_6" localSheetId="11">#REF!</definedName>
    <definedName name="Excel_BuiltIn__FilterDatabase_6" localSheetId="10">#REF!</definedName>
    <definedName name="Excel_BuiltIn__FilterDatabase_6">#REF!</definedName>
    <definedName name="Excel_BuiltIn__FilterDatabase_6_1">NA()</definedName>
    <definedName name="Excel_BuiltIn__FilterDatabase_7" localSheetId="11">#REF!</definedName>
    <definedName name="Excel_BuiltIn__FilterDatabase_7" localSheetId="10">#REF!</definedName>
    <definedName name="Excel_BuiltIn__FilterDatabase_7">#REF!</definedName>
    <definedName name="Excel_BuiltIn__FilterDatabase_8" localSheetId="4">#REF!</definedName>
    <definedName name="Excel_BuiltIn__FilterDatabase_8" localSheetId="11">#REF!</definedName>
    <definedName name="Excel_BuiltIn__FilterDatabase_8">#REF!</definedName>
    <definedName name="Excel_BuiltIn__FilterDatabase_9" localSheetId="11">#REF!</definedName>
    <definedName name="Excel_BuiltIn__FilterDatabase_9">#REF!</definedName>
    <definedName name="Excel_BuiltIn_Print_Titles_6" localSheetId="4">(#REF!,#REF!)</definedName>
    <definedName name="Excel_BuiltIn_Print_Titles_6" localSheetId="11">(#REF!,#REF!)</definedName>
    <definedName name="Excel_BuiltIn_Print_Titles_6" localSheetId="10">(#REF!,#REF!)</definedName>
    <definedName name="Excel_BuiltIn_Print_Titles_6">(#REF!,#REF!)</definedName>
    <definedName name="Excel_BuiltIn_Print_Titles_6_1" localSheetId="11">(#REF!,#REF!)</definedName>
    <definedName name="Excel_BuiltIn_Print_Titles_6_1" localSheetId="10">(#REF!,#REF!)</definedName>
    <definedName name="Excel_BuiltIn_Print_Titles_6_1">NA()</definedName>
    <definedName name="Excel_BuiltIn_Print_Titles_6_10" localSheetId="11">(#REF!,#REF!)</definedName>
    <definedName name="Excel_BuiltIn_Print_Titles_6_10" localSheetId="10">(#REF!,#REF!)</definedName>
    <definedName name="Excel_BuiltIn_Print_Titles_6_10">(#REF!,#REF!)</definedName>
    <definedName name="Excel_BuiltIn_Print_Titles_6_11" localSheetId="11">(#REF!,#REF!)</definedName>
    <definedName name="Excel_BuiltIn_Print_Titles_6_11">(#REF!,#REF!)</definedName>
    <definedName name="Excel_BuiltIn_Print_Titles_6_12" localSheetId="11">(#REF!,#REF!)</definedName>
    <definedName name="Excel_BuiltIn_Print_Titles_6_12">(#REF!,#REF!)</definedName>
    <definedName name="Excel_BuiltIn_Print_Titles_6_13" localSheetId="11">(#REF!,#REF!)</definedName>
    <definedName name="Excel_BuiltIn_Print_Titles_6_13">(#REF!,#REF!)</definedName>
    <definedName name="Excel_BuiltIn_Print_Titles_6_14" localSheetId="11">(#REF!,#REF!)</definedName>
    <definedName name="Excel_BuiltIn_Print_Titles_6_14">(#REF!,#REF!)</definedName>
    <definedName name="Excel_BuiltIn_Print_Titles_6_15" localSheetId="11">(#REF!,#REF!)</definedName>
    <definedName name="Excel_BuiltIn_Print_Titles_6_15">(#REF!,#REF!)</definedName>
    <definedName name="Excel_BuiltIn_Print_Titles_6_16" localSheetId="11">(#REF!,#REF!)</definedName>
    <definedName name="Excel_BuiltIn_Print_Titles_6_16">(#REF!,#REF!)</definedName>
    <definedName name="Excel_BuiltIn_Print_Titles_6_17" localSheetId="11">(#REF!,#REF!)</definedName>
    <definedName name="Excel_BuiltIn_Print_Titles_6_17">(#REF!,#REF!)</definedName>
    <definedName name="Excel_BuiltIn_Print_Titles_6_18" localSheetId="11">(#REF!,#REF!)</definedName>
    <definedName name="Excel_BuiltIn_Print_Titles_6_18">(#REF!,#REF!)</definedName>
    <definedName name="Excel_BuiltIn_Print_Titles_6_19" localSheetId="11">(#REF!,#REF!)</definedName>
    <definedName name="Excel_BuiltIn_Print_Titles_6_19">(#REF!,#REF!)</definedName>
    <definedName name="Excel_BuiltIn_Print_Titles_6_2" localSheetId="11">(#REF!,#REF!)</definedName>
    <definedName name="Excel_BuiltIn_Print_Titles_6_2">(#REF!,#REF!)</definedName>
    <definedName name="Excel_BuiltIn_Print_Titles_6_20" localSheetId="11">(#REF!,#REF!)</definedName>
    <definedName name="Excel_BuiltIn_Print_Titles_6_20">(#REF!,#REF!)</definedName>
    <definedName name="Excel_BuiltIn_Print_Titles_6_21" localSheetId="11">(#REF!,#REF!)</definedName>
    <definedName name="Excel_BuiltIn_Print_Titles_6_21">(#REF!,#REF!)</definedName>
    <definedName name="Excel_BuiltIn_Print_Titles_6_22" localSheetId="11">(#REF!,#REF!)</definedName>
    <definedName name="Excel_BuiltIn_Print_Titles_6_22">(#REF!,#REF!)</definedName>
    <definedName name="Excel_BuiltIn_Print_Titles_6_3" localSheetId="11">(#REF!,#REF!)</definedName>
    <definedName name="Excel_BuiltIn_Print_Titles_6_3">(#REF!,#REF!)</definedName>
    <definedName name="Excel_BuiltIn_Print_Titles_6_4" localSheetId="11">(#REF!,#REF!)</definedName>
    <definedName name="Excel_BuiltIn_Print_Titles_6_4" localSheetId="10">(#REF!,#REF!)</definedName>
    <definedName name="Excel_BuiltIn_Print_Titles_6_4">NA()</definedName>
    <definedName name="Excel_BuiltIn_Print_Titles_6_5" localSheetId="11">(#REF!,#REF!)</definedName>
    <definedName name="Excel_BuiltIn_Print_Titles_6_5" localSheetId="10">(#REF!,#REF!)</definedName>
    <definedName name="Excel_BuiltIn_Print_Titles_6_5">NA()</definedName>
    <definedName name="Excel_BuiltIn_Print_Titles_6_6" localSheetId="11">(#REF!,#REF!)</definedName>
    <definedName name="Excel_BuiltIn_Print_Titles_6_6" localSheetId="10">(#REF!,#REF!)</definedName>
    <definedName name="Excel_BuiltIn_Print_Titles_6_6">NA()</definedName>
    <definedName name="Excel_BuiltIn_Print_Titles_6_7" localSheetId="11">(#REF!,#REF!)</definedName>
    <definedName name="Excel_BuiltIn_Print_Titles_6_7" localSheetId="10">(#REF!,#REF!)</definedName>
    <definedName name="Excel_BuiltIn_Print_Titles_6_7">(#REF!,#REF!)</definedName>
    <definedName name="Excel_BuiltIn_Print_Titles_6_8" localSheetId="11">(#REF!,#REF!)</definedName>
    <definedName name="Excel_BuiltIn_Print_Titles_6_8">(#REF!,#REF!)</definedName>
    <definedName name="Excel_BuiltIn_Print_Titles_6_9" localSheetId="11">(#REF!,#REF!)</definedName>
    <definedName name="Excel_BuiltIn_Print_Titles_6_9">(#REF!,#REF!)</definedName>
    <definedName name="Excel_BuiltIn_Print_Titles_8_1" localSheetId="4">NA()</definedName>
    <definedName name="Excel_BuiltIn_Print_Titles_8_1" localSheetId="11">(#REF!,#REF!)</definedName>
    <definedName name="Excel_BuiltIn_Print_Titles_8_1" localSheetId="10">(#REF!,#REF!)</definedName>
    <definedName name="Excel_BuiltIn_Print_Titles_8_1">(#REF!,#REF!)</definedName>
    <definedName name="Excel_BuiltIn_Print_Titles_8_1_1" localSheetId="11">(#REF!,#REF!)</definedName>
    <definedName name="Excel_BuiltIn_Print_Titles_8_1_1">(#REF!,#REF!)</definedName>
    <definedName name="Excel_BuiltIn_Print_Titles_8_1_10" localSheetId="11">(#REF!,#REF!)</definedName>
    <definedName name="Excel_BuiltIn_Print_Titles_8_1_10">(#REF!,#REF!)</definedName>
    <definedName name="Excel_BuiltIn_Print_Titles_8_1_11" localSheetId="11">(#REF!,#REF!)</definedName>
    <definedName name="Excel_BuiltIn_Print_Titles_8_1_11">(#REF!,#REF!)</definedName>
    <definedName name="Excel_BuiltIn_Print_Titles_8_1_12" localSheetId="11">(#REF!,#REF!)</definedName>
    <definedName name="Excel_BuiltIn_Print_Titles_8_1_12">(#REF!,#REF!)</definedName>
    <definedName name="Excel_BuiltIn_Print_Titles_8_1_13" localSheetId="11">(#REF!,#REF!)</definedName>
    <definedName name="Excel_BuiltIn_Print_Titles_8_1_13">(#REF!,#REF!)</definedName>
    <definedName name="Excel_BuiltIn_Print_Titles_8_1_14" localSheetId="11">(#REF!,#REF!)</definedName>
    <definedName name="Excel_BuiltIn_Print_Titles_8_1_14">(#REF!,#REF!)</definedName>
    <definedName name="Excel_BuiltIn_Print_Titles_8_1_15" localSheetId="11">(#REF!,#REF!)</definedName>
    <definedName name="Excel_BuiltIn_Print_Titles_8_1_15">(#REF!,#REF!)</definedName>
    <definedName name="Excel_BuiltIn_Print_Titles_8_1_16" localSheetId="11">(#REF!,#REF!)</definedName>
    <definedName name="Excel_BuiltIn_Print_Titles_8_1_16">(#REF!,#REF!)</definedName>
    <definedName name="Excel_BuiltIn_Print_Titles_8_1_17" localSheetId="11">(#REF!,#REF!)</definedName>
    <definedName name="Excel_BuiltIn_Print_Titles_8_1_17">(#REF!,#REF!)</definedName>
    <definedName name="Excel_BuiltIn_Print_Titles_8_1_18" localSheetId="11">(#REF!,#REF!)</definedName>
    <definedName name="Excel_BuiltIn_Print_Titles_8_1_18">(#REF!,#REF!)</definedName>
    <definedName name="Excel_BuiltIn_Print_Titles_8_1_19" localSheetId="11">(#REF!,#REF!)</definedName>
    <definedName name="Excel_BuiltIn_Print_Titles_8_1_19">(#REF!,#REF!)</definedName>
    <definedName name="Excel_BuiltIn_Print_Titles_8_1_2" localSheetId="11">(#REF!,#REF!)</definedName>
    <definedName name="Excel_BuiltIn_Print_Titles_8_1_2">(#REF!,#REF!)</definedName>
    <definedName name="Excel_BuiltIn_Print_Titles_8_1_20" localSheetId="11">(#REF!,#REF!)</definedName>
    <definedName name="Excel_BuiltIn_Print_Titles_8_1_20">(#REF!,#REF!)</definedName>
    <definedName name="Excel_BuiltIn_Print_Titles_8_1_21" localSheetId="11">(#REF!,#REF!)</definedName>
    <definedName name="Excel_BuiltIn_Print_Titles_8_1_21">(#REF!,#REF!)</definedName>
    <definedName name="Excel_BuiltIn_Print_Titles_8_1_22" localSheetId="11">(#REF!,#REF!)</definedName>
    <definedName name="Excel_BuiltIn_Print_Titles_8_1_22">(#REF!,#REF!)</definedName>
    <definedName name="Excel_BuiltIn_Print_Titles_8_1_3" localSheetId="11">(#REF!,#REF!)</definedName>
    <definedName name="Excel_BuiltIn_Print_Titles_8_1_3">(#REF!,#REF!)</definedName>
    <definedName name="Excel_BuiltIn_Print_Titles_8_1_4" localSheetId="11">(#REF!,#REF!)</definedName>
    <definedName name="Excel_BuiltIn_Print_Titles_8_1_4" localSheetId="10">(#REF!,#REF!)</definedName>
    <definedName name="Excel_BuiltIn_Print_Titles_8_1_4">NA()</definedName>
    <definedName name="Excel_BuiltIn_Print_Titles_8_1_5" localSheetId="11">(#REF!,#REF!)</definedName>
    <definedName name="Excel_BuiltIn_Print_Titles_8_1_5" localSheetId="10">(#REF!,#REF!)</definedName>
    <definedName name="Excel_BuiltIn_Print_Titles_8_1_5">NA()</definedName>
    <definedName name="Excel_BuiltIn_Print_Titles_8_1_6" localSheetId="11">(#REF!,#REF!)</definedName>
    <definedName name="Excel_BuiltIn_Print_Titles_8_1_6" localSheetId="10">(#REF!,#REF!)</definedName>
    <definedName name="Excel_BuiltIn_Print_Titles_8_1_6">NA()</definedName>
    <definedName name="Excel_BuiltIn_Print_Titles_8_1_7" localSheetId="11">(#REF!,#REF!)</definedName>
    <definedName name="Excel_BuiltIn_Print_Titles_8_1_7" localSheetId="10">(#REF!,#REF!)</definedName>
    <definedName name="Excel_BuiltIn_Print_Titles_8_1_7">(#REF!,#REF!)</definedName>
    <definedName name="Excel_BuiltIn_Print_Titles_8_1_8" localSheetId="11">(#REF!,#REF!)</definedName>
    <definedName name="Excel_BuiltIn_Print_Titles_8_1_8">(#REF!,#REF!)</definedName>
    <definedName name="Excel_BuiltIn_Print_Titles_8_1_9" localSheetId="11">(#REF!,#REF!)</definedName>
    <definedName name="Excel_BuiltIn_Print_Titles_8_1_9">(#REF!,#REF!)</definedName>
    <definedName name="FÉRIAS_5" localSheetId="4">#REF!</definedName>
    <definedName name="FÉRIAS_5">#REF!</definedName>
    <definedName name="FÉRIAS1_5" localSheetId="4">#REF!</definedName>
    <definedName name="FÉRIAS1_5">#REF!</definedName>
    <definedName name="fernando" localSheetId="11">#REF!</definedName>
    <definedName name="fernando">#REF!</definedName>
    <definedName name="FP" localSheetId="11">#REF!</definedName>
    <definedName name="FP">#REF!</definedName>
    <definedName name="ISS" localSheetId="10">#REF!</definedName>
    <definedName name="ISS">#REF!</definedName>
    <definedName name="ISS_apoio">'[4]ISS APOIO'!$A$1:$B$141</definedName>
    <definedName name="Lote_1" localSheetId="11">'[7]LOTE 1'!$D$3:$G$169</definedName>
    <definedName name="Lote_1">'[7]LOTE 1'!$D$3:$G$169</definedName>
    <definedName name="Lote_2" localSheetId="11">'[7]LOTE 2'!$D$3:$G$132</definedName>
    <definedName name="Lote_2">'[7]LOTE 2'!$D$3:$G$132</definedName>
    <definedName name="motorista" localSheetId="11">'Custo salário remuneração'!$D$4:$F$30</definedName>
    <definedName name="motorista">'[8]Custo Motorista'!$D$4:$K$30</definedName>
    <definedName name="ND_5" localSheetId="1">'[1]Interior - Motoristas - VT'!#REF!</definedName>
    <definedName name="ND_5" localSheetId="4">#REF!</definedName>
    <definedName name="ND_5">'[1]Interior - Motoristas - VT'!#REF!</definedName>
    <definedName name="ND_8" localSheetId="1">#REF!</definedName>
    <definedName name="ND_8" localSheetId="4">#REF!</definedName>
    <definedName name="ND_8">#REF!</definedName>
    <definedName name="ND_CAPITAL_5" localSheetId="1">#REF!</definedName>
    <definedName name="ND_CAPITAL_5" localSheetId="4">#REF!</definedName>
    <definedName name="ND_CAPITAL_5">#REF!</definedName>
    <definedName name="ND2_6" localSheetId="1">'[1]Interior - Motoristas - VT'!#REF!</definedName>
    <definedName name="ND2_6" localSheetId="4">#REF!</definedName>
    <definedName name="ND2_6">'[1]Interior - Motoristas - VT'!#REF!</definedName>
    <definedName name="ND3_8" localSheetId="1">'[1]Interior - Motoristas - VT'!#REF!</definedName>
    <definedName name="ND3_8" localSheetId="4">#REF!</definedName>
    <definedName name="ND3_8">'[1]Interior - Motoristas - VT'!#REF!</definedName>
    <definedName name="ND4_7" localSheetId="1">'[1]Interior - Motoristas - VT'!#REF!</definedName>
    <definedName name="ND4_7" localSheetId="4">#REF!</definedName>
    <definedName name="ND4_7">'[1]Interior - Motoristas - VT'!#REF!</definedName>
    <definedName name="ND6_4">NA()</definedName>
    <definedName name="ND7_4" localSheetId="1">#REF!</definedName>
    <definedName name="ND7_4">#REF!</definedName>
    <definedName name="ND7_4_4">NA()</definedName>
    <definedName name="ND7_4_5">NA()</definedName>
    <definedName name="ND7_4_6">NA()</definedName>
    <definedName name="ND8_4">NA()</definedName>
    <definedName name="ND9_5">NA()</definedName>
    <definedName name="NDAPOIO_6" localSheetId="1">#REF!</definedName>
    <definedName name="NDAPOIO_6" localSheetId="4">#REF!</definedName>
    <definedName name="NDAPOIO_6">#REF!</definedName>
    <definedName name="NdIAS_7" localSheetId="1">'[1]Interior - Motoristas - VT'!#REF!</definedName>
    <definedName name="NdIAS_7" localSheetId="4">#REF!</definedName>
    <definedName name="NdIAS_7">'[1]Interior - Motoristas - VT'!#REF!</definedName>
    <definedName name="NDVA2_4" localSheetId="1">#REF!</definedName>
    <definedName name="NDVA2_4">#REF!</definedName>
    <definedName name="NDVA2_4_4">NA()</definedName>
    <definedName name="NDVA2_4_5">NA()</definedName>
    <definedName name="NDVA2_4_6">NA()</definedName>
    <definedName name="NDVA4_5" localSheetId="1">#REF!</definedName>
    <definedName name="NDVA4_5">#REF!</definedName>
    <definedName name="NDVA4_5_4">NA()</definedName>
    <definedName name="NDVA4_5_5">NA()</definedName>
    <definedName name="NDVA4_5_6">NA()</definedName>
    <definedName name="nj" localSheetId="11">#REF!</definedName>
    <definedName name="nj">#REF!</definedName>
    <definedName name="obs_6" localSheetId="1">#REF!+#REF!</definedName>
    <definedName name="obs_6" localSheetId="4">#REF!+#REF!</definedName>
    <definedName name="obs_6">#REF!+#REF!</definedName>
    <definedName name="OBS2_6" localSheetId="1">#REF!</definedName>
    <definedName name="OBS2_6" localSheetId="4">#REF!</definedName>
    <definedName name="OBS2_6">#REF!</definedName>
    <definedName name="oppppppppppp">[5]PARÂMETRO!$B$30:$B$133</definedName>
    <definedName name="PageMaker" localSheetId="10">#REF!</definedName>
    <definedName name="PageMaker">#REF!</definedName>
    <definedName name="parametro" localSheetId="11">[9]PARÂMETRO!$B$3:$H$26</definedName>
    <definedName name="parametro">[5]PARÂMETRO!$B$3:$H$26</definedName>
    <definedName name="PARAMETROAPOIO">[4]Parâmetro!$B$3:$H$58</definedName>
    <definedName name="PGJ_5" localSheetId="1">#REF!</definedName>
    <definedName name="PGJ_5" localSheetId="4">#REF!</definedName>
    <definedName name="PGJ_5">#REF!</definedName>
    <definedName name="PGJ_6" localSheetId="4">#REF!</definedName>
    <definedName name="PGJ_6">#REF!</definedName>
    <definedName name="PGJ2_6" localSheetId="4">#REF!</definedName>
    <definedName name="PGJ2_6">#REF!</definedName>
    <definedName name="PGJ3_8" localSheetId="1">'[1]Interior - Motoristas - VT'!#REF!</definedName>
    <definedName name="PGJ3_8" localSheetId="4">#REF!</definedName>
    <definedName name="PGJ3_8">'[1]Interior - Motoristas - VT'!#REF!</definedName>
    <definedName name="PGJ4_7" localSheetId="1">'[1]Interior - Motoristas - VT'!#REF!</definedName>
    <definedName name="PGJ4_7" localSheetId="4">#REF!</definedName>
    <definedName name="PGJ4_7">'[1]Interior - Motoristas - VT'!#REF!</definedName>
    <definedName name="PGJINT2_5" localSheetId="1">#REF!</definedName>
    <definedName name="PGJINT2_5">#REF!</definedName>
    <definedName name="PGJINT2_5_4">NA()</definedName>
    <definedName name="PGJINT2_5_5">NA()</definedName>
    <definedName name="PGJINT2_5_6">NA()</definedName>
    <definedName name="PGJVA2_4">NA()</definedName>
    <definedName name="Plan2_4">NA()</definedName>
    <definedName name="PLAN2009" localSheetId="11">#REF!</definedName>
    <definedName name="PLAN2009">#REF!</definedName>
    <definedName name="plan3_5">NA()</definedName>
    <definedName name="PLANILHA" localSheetId="11">#REF!</definedName>
    <definedName name="PLANILHA">#REF!</definedName>
    <definedName name="PLANILHA1_5" localSheetId="1">#REF!</definedName>
    <definedName name="PLANILHA1_5" localSheetId="4">#REF!</definedName>
    <definedName name="PLANILHA1_5">#REF!</definedName>
    <definedName name="PLANILHA1A_6" localSheetId="1">#REF!</definedName>
    <definedName name="PLANILHA1A_6" localSheetId="4">#REF!</definedName>
    <definedName name="PLANILHA1A_6">#REF!</definedName>
    <definedName name="PLANILHA2_5" localSheetId="1">#REF!</definedName>
    <definedName name="PLANILHA2_5" localSheetId="4">#REF!</definedName>
    <definedName name="PLANILHA2_5">#REF!</definedName>
    <definedName name="PLANILHA2A_6" localSheetId="1">#REF!</definedName>
    <definedName name="PLANILHA2A_6" localSheetId="4">#REF!</definedName>
    <definedName name="PLANILHA2A_6">#REF!</definedName>
    <definedName name="PROC_8" localSheetId="4">#REF!</definedName>
    <definedName name="PROC_8">#REF!</definedName>
    <definedName name="PROC2_7" localSheetId="1">'[1]Interior - Motoristas - VT'!#REF!</definedName>
    <definedName name="PROC2_7" localSheetId="4">#REF!</definedName>
    <definedName name="PROC2_7">'[1]Interior - Motoristas - VT'!#REF!</definedName>
    <definedName name="PROC3_6" localSheetId="1">#REF!</definedName>
    <definedName name="PROC3_6" localSheetId="4">#REF!</definedName>
    <definedName name="PROC3_6">#REF!</definedName>
    <definedName name="rd" localSheetId="1">[10]Capital!#REF!</definedName>
    <definedName name="rd">[10]Capital!#REF!</definedName>
    <definedName name="Results" localSheetId="11">#REF!</definedName>
    <definedName name="Results">#REF!</definedName>
    <definedName name="rr" localSheetId="11">'[11]CUSTO LOTE 1'!$D$3:$K$165</definedName>
    <definedName name="rr">'[11]CUSTO LOTE 1'!$D$3:$K$165</definedName>
    <definedName name="rsss" localSheetId="10">#REF!</definedName>
    <definedName name="rsss">#REF!</definedName>
    <definedName name="SALÁRIO_5" localSheetId="1">#REF!</definedName>
    <definedName name="SALÁRIO_5" localSheetId="4">#REF!</definedName>
    <definedName name="SALÁRIO_5">#REF!</definedName>
    <definedName name="SALÁRIO2_6" localSheetId="1">#REF!</definedName>
    <definedName name="SALÁRIO2_6" localSheetId="4">#REF!</definedName>
    <definedName name="SALÁRIO2_6">#REF!</definedName>
    <definedName name="SALÁRIO3_8" localSheetId="1">'[1]Interior - Motoristas - VT'!#REF!</definedName>
    <definedName name="SALÁRIO3_8" localSheetId="4">#REF!</definedName>
    <definedName name="SALÁRIO3_8">'[1]Interior - Motoristas - VT'!#REF!</definedName>
    <definedName name="SALÁRIO4">NA()</definedName>
    <definedName name="Servicos">[12]Servicos!$A$2:$A$16</definedName>
    <definedName name="teste" localSheetId="4">NA()</definedName>
    <definedName name="teste" localSheetId="11">[3]CCT!$B$11:$C$101</definedName>
    <definedName name="teste">#REF!</definedName>
    <definedName name="teste_4">NA()</definedName>
    <definedName name="teste_5">NA()</definedName>
    <definedName name="teste_6">NA()</definedName>
    <definedName name="_xlnm.Print_Titles" localSheetId="1">'BANCO DADOS-CUSTO TOTAL'!$7:$9</definedName>
    <definedName name="_xlnm.Print_Titles" localSheetId="12">'VA E VT - APOIO.LIMPEZA'!$10:$11</definedName>
    <definedName name="U" localSheetId="1">'[1]Interior - Motoristas - VT'!#REF!</definedName>
    <definedName name="U" localSheetId="4">#REF!</definedName>
    <definedName name="U">'[1]Interior - Motoristas - VT'!#REF!</definedName>
    <definedName name="UK" localSheetId="1">'[1]Interior - Motoristas - VT'!#REF!</definedName>
    <definedName name="UK" localSheetId="4">#REF!</definedName>
    <definedName name="UK">'[1]Interior - Motoristas - VT'!#REF!</definedName>
    <definedName name="VA2_4">#REF!</definedName>
    <definedName name="VA2_4_4">NA()</definedName>
    <definedName name="VA2_4_5">NA()</definedName>
    <definedName name="vt" localSheetId="4">NA()</definedName>
    <definedName name="vt" localSheetId="11">[3]Parâmetro!$A$26:$C$112</definedName>
    <definedName name="vt">#REF!</definedName>
    <definedName name="vt_4">NA()</definedName>
    <definedName name="VT_5" localSheetId="1">#REF!</definedName>
    <definedName name="VT_5" localSheetId="4">#REF!</definedName>
    <definedName name="VT_5">#REF!</definedName>
    <definedName name="VT_5_1">NA()</definedName>
    <definedName name="vt_6">NA()</definedName>
    <definedName name="VT_INCLUSOMOTORISTAS">[4]Parâmetro!$B$62:$E$143</definedName>
    <definedName name="VT2_6" localSheetId="1">#REF!</definedName>
    <definedName name="VT2_6" localSheetId="4">#REF!</definedName>
    <definedName name="VT2_6">#REF!</definedName>
    <definedName name="VT3_8" localSheetId="1">#REF!</definedName>
    <definedName name="VT3_8" localSheetId="4">#REF!</definedName>
    <definedName name="VT3_8">#REF!</definedName>
    <definedName name="VT4_7" localSheetId="1">'[1]Interior - Motoristas - VT'!#REF!</definedName>
    <definedName name="VT4_7" localSheetId="4">#REF!</definedName>
    <definedName name="VT4_7">'[1]Interior - Motoristas - VT'!#REF!</definedName>
    <definedName name="VTPGJ_5" localSheetId="1">'[1]Interior - Motoristas - VT'!#REF!</definedName>
    <definedName name="VTPGJ_5" localSheetId="4">#REF!</definedName>
    <definedName name="VTPGJ_5">'[1]Interior - Motoristas - VT'!#REF!</definedName>
    <definedName name="VTPGJ2_6" localSheetId="1">'[1]Interior - Motoristas - VT'!#REF!</definedName>
    <definedName name="VTPGJ2_6" localSheetId="4">#REF!</definedName>
    <definedName name="VTPGJ2_6">'[1]Interior - Motoristas - VT'!#REF!</definedName>
  </definedNames>
  <calcPr calcId="152511"/>
</workbook>
</file>

<file path=xl/calcChain.xml><?xml version="1.0" encoding="utf-8"?>
<calcChain xmlns="http://schemas.openxmlformats.org/spreadsheetml/2006/main">
  <c r="B155" i="20" l="1"/>
  <c r="Q154" i="20"/>
  <c r="Q153" i="20"/>
  <c r="Q151" i="20"/>
  <c r="Q150" i="20"/>
  <c r="Q148" i="20"/>
  <c r="Q146" i="20"/>
  <c r="Q145" i="20"/>
  <c r="Q144" i="20"/>
  <c r="Q143" i="20"/>
  <c r="Q142" i="20"/>
  <c r="Q141" i="20"/>
  <c r="Q139" i="20"/>
  <c r="Q138" i="20"/>
  <c r="Q137" i="20"/>
  <c r="Q136" i="20"/>
  <c r="Q134" i="20"/>
  <c r="Q133" i="20"/>
  <c r="Q131" i="20"/>
  <c r="Q130" i="20"/>
  <c r="Q129" i="20"/>
  <c r="Q128" i="20"/>
  <c r="Q126" i="20"/>
  <c r="Q125" i="20"/>
  <c r="Q123" i="20"/>
  <c r="Q122" i="20"/>
  <c r="Q120" i="20"/>
  <c r="Q119" i="20"/>
  <c r="Q118" i="20"/>
  <c r="Q117" i="20"/>
  <c r="Q115" i="20"/>
  <c r="Q114" i="20"/>
  <c r="Q113" i="20"/>
  <c r="Q112" i="20"/>
  <c r="Q111" i="20"/>
  <c r="Q109" i="20"/>
  <c r="Q108" i="20"/>
  <c r="Q107" i="20"/>
  <c r="Q106" i="20"/>
  <c r="Q104" i="20"/>
  <c r="Q102" i="20"/>
  <c r="Q101" i="20"/>
  <c r="Q99" i="20"/>
  <c r="Q98" i="20"/>
  <c r="Q97" i="20"/>
  <c r="Q96" i="20"/>
  <c r="Q94" i="20"/>
  <c r="Q93" i="20"/>
  <c r="Q91" i="20"/>
  <c r="Q89" i="20"/>
  <c r="Q87" i="20"/>
  <c r="Q85" i="20"/>
  <c r="Q83" i="20"/>
  <c r="Q81" i="20"/>
  <c r="Q80" i="20"/>
  <c r="Q79" i="20"/>
  <c r="Q77" i="20"/>
  <c r="Q75" i="20"/>
  <c r="Q74" i="20"/>
  <c r="Q73" i="20"/>
  <c r="Q72" i="20"/>
  <c r="Q71" i="20"/>
  <c r="Q69" i="20"/>
  <c r="Q68" i="20"/>
  <c r="Q66" i="20"/>
  <c r="Q64" i="20"/>
  <c r="Q62" i="20"/>
  <c r="Q61" i="20"/>
  <c r="Q59" i="20"/>
  <c r="Q58" i="20"/>
  <c r="Q57" i="20"/>
  <c r="Q56" i="20"/>
  <c r="Q55" i="20"/>
  <c r="Q54" i="20"/>
  <c r="Q53" i="20"/>
  <c r="Q52" i="20"/>
  <c r="Q51" i="20"/>
  <c r="Q50" i="20"/>
  <c r="Q49" i="20"/>
  <c r="Q48" i="20"/>
  <c r="Q47" i="20"/>
  <c r="Q46" i="20"/>
  <c r="Q45" i="20"/>
  <c r="Q44" i="20"/>
  <c r="Q43" i="20"/>
  <c r="Q42" i="20"/>
  <c r="Q41" i="20"/>
  <c r="Q40" i="20"/>
  <c r="Q39" i="20"/>
  <c r="Q38" i="20"/>
  <c r="Q37" i="20"/>
  <c r="Q36" i="20"/>
  <c r="Q35" i="20"/>
  <c r="Q34" i="20"/>
  <c r="Q33" i="20"/>
  <c r="Q32" i="20"/>
  <c r="Q31" i="20"/>
  <c r="Q30" i="20"/>
  <c r="Q29" i="20"/>
  <c r="Q28" i="20"/>
  <c r="Q27" i="20"/>
  <c r="Q26" i="20"/>
  <c r="Q25" i="20"/>
  <c r="Q24" i="20"/>
  <c r="Q23" i="20"/>
  <c r="Q22" i="20"/>
  <c r="Q21" i="20"/>
  <c r="Q20" i="20"/>
  <c r="Q19" i="20"/>
  <c r="Q18" i="20"/>
  <c r="Q17" i="20"/>
  <c r="Q15" i="20"/>
  <c r="Q13" i="20"/>
  <c r="N2" i="77" l="1"/>
  <c r="AT21" i="20" l="1"/>
  <c r="BC21" i="20"/>
  <c r="AT12" i="23" l="1"/>
  <c r="AU12" i="23"/>
  <c r="AT13" i="23"/>
  <c r="AU13" i="23"/>
  <c r="AT14" i="23"/>
  <c r="AU14" i="23"/>
  <c r="AT15" i="23"/>
  <c r="AU15" i="23"/>
  <c r="AX15" i="23" s="1"/>
  <c r="AT16" i="23"/>
  <c r="AU16" i="23"/>
  <c r="AX16" i="23" s="1"/>
  <c r="AT17" i="23"/>
  <c r="AU17" i="23"/>
  <c r="AX17" i="23" s="1"/>
  <c r="AY17" i="23" s="1"/>
  <c r="AZ17" i="23" s="1"/>
  <c r="AT18" i="23"/>
  <c r="AU18" i="23"/>
  <c r="AT19" i="23"/>
  <c r="AU19" i="23"/>
  <c r="AT20" i="23"/>
  <c r="AU20" i="23"/>
  <c r="AT21" i="23"/>
  <c r="AU21" i="23"/>
  <c r="AX21" i="23" s="1"/>
  <c r="AY21" i="23" s="1"/>
  <c r="AT22" i="23"/>
  <c r="AU22" i="23"/>
  <c r="AT23" i="23"/>
  <c r="AU23" i="23"/>
  <c r="AT24" i="23"/>
  <c r="AU24" i="23"/>
  <c r="AT25" i="23"/>
  <c r="AU25" i="23"/>
  <c r="AX25" i="23" s="1"/>
  <c r="AY25" i="23" s="1"/>
  <c r="AT26" i="23"/>
  <c r="AU26" i="23"/>
  <c r="AX26" i="23" s="1"/>
  <c r="AT27" i="23"/>
  <c r="AU27" i="23"/>
  <c r="AX27" i="23" s="1"/>
  <c r="AY27" i="23" s="1"/>
  <c r="AT28" i="23"/>
  <c r="AU28" i="23"/>
  <c r="AX28" i="23" s="1"/>
  <c r="AT29" i="23"/>
  <c r="AU29" i="23"/>
  <c r="AX29" i="23" s="1"/>
  <c r="AY29" i="23" s="1"/>
  <c r="AZ29" i="23" s="1"/>
  <c r="AT30" i="23"/>
  <c r="AU30" i="23"/>
  <c r="AX30" i="23" s="1"/>
  <c r="AT31" i="23"/>
  <c r="AU31" i="23"/>
  <c r="AT32" i="23"/>
  <c r="AU32" i="23"/>
  <c r="AT33" i="23"/>
  <c r="AU33" i="23"/>
  <c r="AT34" i="23"/>
  <c r="AU34" i="23"/>
  <c r="AT35" i="23"/>
  <c r="AU35" i="23"/>
  <c r="AX35" i="23" s="1"/>
  <c r="AY35" i="23" s="1"/>
  <c r="AT36" i="23"/>
  <c r="AU36" i="23"/>
  <c r="AT37" i="23"/>
  <c r="AU37" i="23"/>
  <c r="AT38" i="23"/>
  <c r="AU38" i="23"/>
  <c r="AT39" i="23"/>
  <c r="AU39" i="23"/>
  <c r="AX39" i="23" s="1"/>
  <c r="AY39" i="23" s="1"/>
  <c r="AT40" i="23"/>
  <c r="AU40" i="23"/>
  <c r="AT41" i="23"/>
  <c r="AU41" i="23"/>
  <c r="AT42" i="23"/>
  <c r="AU42" i="23"/>
  <c r="AX42" i="23" s="1"/>
  <c r="AY42" i="23" s="1"/>
  <c r="AZ42" i="23" s="1"/>
  <c r="AT43" i="23"/>
  <c r="AU43" i="23"/>
  <c r="AT44" i="23"/>
  <c r="AU44" i="23"/>
  <c r="AT45" i="23"/>
  <c r="AU45" i="23"/>
  <c r="AT46" i="23"/>
  <c r="AU46" i="23"/>
  <c r="AT47" i="23"/>
  <c r="AU47" i="23"/>
  <c r="AX47" i="23" s="1"/>
  <c r="AT48" i="23"/>
  <c r="AU48" i="23"/>
  <c r="AT49" i="23"/>
  <c r="AU49" i="23"/>
  <c r="AX49" i="23" s="1"/>
  <c r="AT50" i="23"/>
  <c r="AU50" i="23"/>
  <c r="AT51" i="23"/>
  <c r="AU51" i="23"/>
  <c r="AT52" i="23"/>
  <c r="AU52" i="23"/>
  <c r="AX52" i="23" s="1"/>
  <c r="AY52" i="23" s="1"/>
  <c r="AT53" i="23"/>
  <c r="AU53" i="23"/>
  <c r="AX53" i="23" s="1"/>
  <c r="AT54" i="23"/>
  <c r="AU54" i="23"/>
  <c r="AT55" i="23"/>
  <c r="AU55" i="23"/>
  <c r="AT56" i="23"/>
  <c r="AU56" i="23"/>
  <c r="AX56" i="23" s="1"/>
  <c r="AY56" i="23" s="1"/>
  <c r="AT57" i="23"/>
  <c r="AU57" i="23"/>
  <c r="AX57" i="23" s="1"/>
  <c r="AY57" i="23" s="1"/>
  <c r="AT58" i="23"/>
  <c r="AU58" i="23"/>
  <c r="AT59" i="23"/>
  <c r="AU59" i="23"/>
  <c r="AX59" i="23" s="1"/>
  <c r="AT60" i="23"/>
  <c r="AU60" i="23"/>
  <c r="AT61" i="23"/>
  <c r="AU61" i="23"/>
  <c r="AX61" i="23" s="1"/>
  <c r="AT62" i="23"/>
  <c r="AU62" i="23"/>
  <c r="AT63" i="23"/>
  <c r="AU63" i="23"/>
  <c r="AT64" i="23"/>
  <c r="AU64" i="23"/>
  <c r="AT65" i="23"/>
  <c r="AU65" i="23"/>
  <c r="AT66" i="23"/>
  <c r="AU66" i="23"/>
  <c r="AT67" i="23"/>
  <c r="AU67" i="23"/>
  <c r="AX67" i="23" s="1"/>
  <c r="AY67" i="23" s="1"/>
  <c r="AT68" i="23"/>
  <c r="AU68" i="23"/>
  <c r="AT69" i="23"/>
  <c r="AU69" i="23"/>
  <c r="AT70" i="23"/>
  <c r="AU70" i="23"/>
  <c r="AT71" i="23"/>
  <c r="AU71" i="23"/>
  <c r="AX71" i="23" s="1"/>
  <c r="AY71" i="23" s="1"/>
  <c r="AT72" i="23"/>
  <c r="AU72" i="23"/>
  <c r="AX72" i="23" s="1"/>
  <c r="AT73" i="23"/>
  <c r="AU73" i="23"/>
  <c r="AT74" i="23"/>
  <c r="AU74" i="23"/>
  <c r="AT75" i="23"/>
  <c r="AU75" i="23"/>
  <c r="AT76" i="23"/>
  <c r="AU76" i="23"/>
  <c r="AT77" i="23"/>
  <c r="AU77" i="23"/>
  <c r="AT78" i="23"/>
  <c r="AU78" i="23"/>
  <c r="AT79" i="23"/>
  <c r="AU79" i="23"/>
  <c r="AX79" i="23" s="1"/>
  <c r="AY79" i="23" s="1"/>
  <c r="AT80" i="23"/>
  <c r="AU80" i="23"/>
  <c r="AT81" i="23"/>
  <c r="AU81" i="23"/>
  <c r="AX81" i="23" s="1"/>
  <c r="AY81" i="23" s="1"/>
  <c r="AZ81" i="23" s="1"/>
  <c r="AT82" i="23"/>
  <c r="AU82" i="23"/>
  <c r="AT83" i="23"/>
  <c r="AU83" i="23"/>
  <c r="AT84" i="23"/>
  <c r="AU84" i="23"/>
  <c r="AT85" i="23"/>
  <c r="AU85" i="23"/>
  <c r="AX85" i="23" s="1"/>
  <c r="AY85" i="23" s="1"/>
  <c r="AT86" i="23"/>
  <c r="AU86" i="23"/>
  <c r="AT87" i="23"/>
  <c r="AU87" i="23"/>
  <c r="AT88" i="23"/>
  <c r="AU88" i="23"/>
  <c r="AX88" i="23" s="1"/>
  <c r="AT89" i="23"/>
  <c r="AU89" i="23"/>
  <c r="AX89" i="23" s="1"/>
  <c r="AY89" i="23" s="1"/>
  <c r="AT90" i="23"/>
  <c r="AU90" i="23"/>
  <c r="AX90" i="23" s="1"/>
  <c r="AT91" i="23"/>
  <c r="AU91" i="23"/>
  <c r="AX91" i="23" s="1"/>
  <c r="AY91" i="23" s="1"/>
  <c r="AT92" i="23"/>
  <c r="AU92" i="23"/>
  <c r="AX92" i="23" s="1"/>
  <c r="AY92" i="23" s="1"/>
  <c r="AT93" i="23"/>
  <c r="AU93" i="23"/>
  <c r="AX93" i="23" s="1"/>
  <c r="AT94" i="23"/>
  <c r="AU94" i="23"/>
  <c r="AX94" i="23" s="1"/>
  <c r="AY94" i="23" s="1"/>
  <c r="AT95" i="23"/>
  <c r="AU95" i="23"/>
  <c r="AT96" i="23"/>
  <c r="AU96" i="23"/>
  <c r="AT97" i="23"/>
  <c r="AU97" i="23"/>
  <c r="AT98" i="23"/>
  <c r="AU98" i="23"/>
  <c r="AT99" i="23"/>
  <c r="AU99" i="23"/>
  <c r="AX99" i="23" s="1"/>
  <c r="AT100" i="23"/>
  <c r="AU100" i="23"/>
  <c r="AT101" i="23"/>
  <c r="AU101" i="23"/>
  <c r="AT102" i="23"/>
  <c r="AU102" i="23"/>
  <c r="AT103" i="23"/>
  <c r="AU103" i="23"/>
  <c r="AX103" i="23" s="1"/>
  <c r="AY103" i="23" s="1"/>
  <c r="AT104" i="23"/>
  <c r="AU104" i="23"/>
  <c r="AX104" i="23" s="1"/>
  <c r="AY104" i="23" s="1"/>
  <c r="AT105" i="23"/>
  <c r="AU105" i="23"/>
  <c r="AT106" i="23"/>
  <c r="AU106" i="23"/>
  <c r="AX106" i="23" s="1"/>
  <c r="AT107" i="23"/>
  <c r="AU107" i="23"/>
  <c r="AT108" i="23"/>
  <c r="AU108" i="23"/>
  <c r="AT109" i="23"/>
  <c r="AU109" i="23"/>
  <c r="AT110" i="23"/>
  <c r="AU110" i="23"/>
  <c r="AT111" i="23"/>
  <c r="AU111" i="23"/>
  <c r="AX111" i="23" s="1"/>
  <c r="AY111" i="23" s="1"/>
  <c r="AT112" i="23"/>
  <c r="AU112" i="23"/>
  <c r="AT113" i="23"/>
  <c r="AU113" i="23"/>
  <c r="AX113" i="23" s="1"/>
  <c r="AY113" i="23" s="1"/>
  <c r="AT114" i="23"/>
  <c r="AU114" i="23"/>
  <c r="AT115" i="23"/>
  <c r="AU115" i="23"/>
  <c r="AT116" i="23"/>
  <c r="AU116" i="23"/>
  <c r="AT117" i="23"/>
  <c r="AU117" i="23"/>
  <c r="AX117" i="23" s="1"/>
  <c r="AY117" i="23" s="1"/>
  <c r="AT118" i="23"/>
  <c r="AU118" i="23"/>
  <c r="AT119" i="23"/>
  <c r="AU119" i="23"/>
  <c r="AT120" i="23"/>
  <c r="AU120" i="23"/>
  <c r="AT121" i="23"/>
  <c r="AU121" i="23"/>
  <c r="AX121" i="23" s="1"/>
  <c r="AY121" i="23" s="1"/>
  <c r="AT122" i="23"/>
  <c r="AU122" i="23"/>
  <c r="AX122" i="23" s="1"/>
  <c r="AY122" i="23" s="1"/>
  <c r="AT123" i="23"/>
  <c r="AU123" i="23"/>
  <c r="AX123" i="23" s="1"/>
  <c r="AY123" i="23" s="1"/>
  <c r="AZ123" i="23" s="1"/>
  <c r="AU11" i="23"/>
  <c r="AT11" i="23"/>
  <c r="AX11" i="23" s="1"/>
  <c r="AJ12" i="23"/>
  <c r="AK12" i="23"/>
  <c r="AN12" i="23" s="1"/>
  <c r="AJ13" i="23"/>
  <c r="AK13" i="23"/>
  <c r="AJ14" i="23"/>
  <c r="AK14" i="23"/>
  <c r="AN14" i="23" s="1"/>
  <c r="AJ15" i="23"/>
  <c r="AK15" i="23"/>
  <c r="AJ16" i="23"/>
  <c r="AK16" i="23"/>
  <c r="AN16" i="23" s="1"/>
  <c r="AO16" i="23" s="1"/>
  <c r="AJ17" i="23"/>
  <c r="AK17" i="23"/>
  <c r="AJ18" i="23"/>
  <c r="AK18" i="23"/>
  <c r="AN18" i="23" s="1"/>
  <c r="AJ19" i="23"/>
  <c r="AK19" i="23"/>
  <c r="AJ20" i="23"/>
  <c r="AK20" i="23"/>
  <c r="AN20" i="23" s="1"/>
  <c r="AO20" i="23" s="1"/>
  <c r="AJ21" i="23"/>
  <c r="AK21" i="23"/>
  <c r="AN21" i="23" s="1"/>
  <c r="AJ22" i="23"/>
  <c r="AK22" i="23"/>
  <c r="AN22" i="23" s="1"/>
  <c r="AJ23" i="23"/>
  <c r="AK23" i="23"/>
  <c r="AJ24" i="23"/>
  <c r="AK24" i="23"/>
  <c r="AN24" i="23" s="1"/>
  <c r="AJ25" i="23"/>
  <c r="AK25" i="23"/>
  <c r="AJ26" i="23"/>
  <c r="AK26" i="23"/>
  <c r="AN26" i="23" s="1"/>
  <c r="AJ27" i="23"/>
  <c r="AK27" i="23"/>
  <c r="AJ28" i="23"/>
  <c r="AK28" i="23"/>
  <c r="AN28" i="23" s="1"/>
  <c r="AO28" i="23" s="1"/>
  <c r="AJ29" i="23"/>
  <c r="AK29" i="23"/>
  <c r="AJ30" i="23"/>
  <c r="AK30" i="23"/>
  <c r="AN30" i="23" s="1"/>
  <c r="AJ31" i="23"/>
  <c r="AK31" i="23"/>
  <c r="AJ32" i="23"/>
  <c r="AK32" i="23"/>
  <c r="AN32" i="23" s="1"/>
  <c r="AO32" i="23" s="1"/>
  <c r="AJ33" i="23"/>
  <c r="AK33" i="23"/>
  <c r="AJ34" i="23"/>
  <c r="AK34" i="23"/>
  <c r="AN34" i="23" s="1"/>
  <c r="AJ35" i="23"/>
  <c r="AK35" i="23"/>
  <c r="AJ36" i="23"/>
  <c r="AK36" i="23"/>
  <c r="AN36" i="23" s="1"/>
  <c r="AO36" i="23" s="1"/>
  <c r="AJ37" i="23"/>
  <c r="AK37" i="23"/>
  <c r="AN37" i="23" s="1"/>
  <c r="AO37" i="23" s="1"/>
  <c r="AJ38" i="23"/>
  <c r="AK38" i="23"/>
  <c r="AN38" i="23" s="1"/>
  <c r="AJ39" i="23"/>
  <c r="AK39" i="23"/>
  <c r="AJ40" i="23"/>
  <c r="AK40" i="23"/>
  <c r="AN40" i="23" s="1"/>
  <c r="AO40" i="23" s="1"/>
  <c r="AP40" i="23" s="1"/>
  <c r="AJ41" i="23"/>
  <c r="AK41" i="23"/>
  <c r="AJ42" i="23"/>
  <c r="AK42" i="23"/>
  <c r="AN42" i="23" s="1"/>
  <c r="AJ43" i="23"/>
  <c r="AK43" i="23"/>
  <c r="AJ44" i="23"/>
  <c r="AK44" i="23"/>
  <c r="AN44" i="23" s="1"/>
  <c r="AO44" i="23" s="1"/>
  <c r="AJ45" i="23"/>
  <c r="AK45" i="23"/>
  <c r="AJ46" i="23"/>
  <c r="AK46" i="23"/>
  <c r="AN46" i="23" s="1"/>
  <c r="AO46" i="23" s="1"/>
  <c r="AP46" i="23" s="1"/>
  <c r="AJ47" i="23"/>
  <c r="AK47" i="23"/>
  <c r="AJ48" i="23"/>
  <c r="AK48" i="23"/>
  <c r="AN48" i="23" s="1"/>
  <c r="AJ49" i="23"/>
  <c r="AK49" i="23"/>
  <c r="AJ50" i="23"/>
  <c r="AK50" i="23"/>
  <c r="AN50" i="23" s="1"/>
  <c r="AO50" i="23" s="1"/>
  <c r="AP50" i="23" s="1"/>
  <c r="AJ51" i="23"/>
  <c r="AK51" i="23"/>
  <c r="AJ52" i="23"/>
  <c r="AK52" i="23"/>
  <c r="AN52" i="23" s="1"/>
  <c r="AJ53" i="23"/>
  <c r="AK53" i="23"/>
  <c r="AJ54" i="23"/>
  <c r="AK54" i="23"/>
  <c r="AN54" i="23" s="1"/>
  <c r="AJ55" i="23"/>
  <c r="AK55" i="23"/>
  <c r="AJ56" i="23"/>
  <c r="AK56" i="23"/>
  <c r="AN56" i="23" s="1"/>
  <c r="AJ57" i="23"/>
  <c r="AK57" i="23"/>
  <c r="AJ58" i="23"/>
  <c r="AK58" i="23"/>
  <c r="AN58" i="23" s="1"/>
  <c r="AO58" i="23" s="1"/>
  <c r="AJ59" i="23"/>
  <c r="AK59" i="23"/>
  <c r="AJ60" i="23"/>
  <c r="AK60" i="23"/>
  <c r="AN60" i="23" s="1"/>
  <c r="AJ61" i="23"/>
  <c r="AK61" i="23"/>
  <c r="AJ62" i="23"/>
  <c r="AK62" i="23"/>
  <c r="AN62" i="23" s="1"/>
  <c r="AO62" i="23" s="1"/>
  <c r="AP62" i="23" s="1"/>
  <c r="AJ63" i="23"/>
  <c r="AK63" i="23"/>
  <c r="AJ64" i="23"/>
  <c r="AK64" i="23"/>
  <c r="AN64" i="23" s="1"/>
  <c r="AO64" i="23" s="1"/>
  <c r="AJ65" i="23"/>
  <c r="AK65" i="23"/>
  <c r="AJ66" i="23"/>
  <c r="AK66" i="23"/>
  <c r="AN66" i="23" s="1"/>
  <c r="AJ67" i="23"/>
  <c r="AK67" i="23"/>
  <c r="AJ68" i="23"/>
  <c r="AK68" i="23"/>
  <c r="AN68" i="23" s="1"/>
  <c r="AO68" i="23" s="1"/>
  <c r="AP68" i="23" s="1"/>
  <c r="AJ69" i="23"/>
  <c r="AK69" i="23"/>
  <c r="AJ70" i="23"/>
  <c r="AK70" i="23"/>
  <c r="AN70" i="23" s="1"/>
  <c r="AJ71" i="23"/>
  <c r="AK71" i="23"/>
  <c r="AJ72" i="23"/>
  <c r="AK72" i="23"/>
  <c r="AN72" i="23" s="1"/>
  <c r="AO72" i="23" s="1"/>
  <c r="AJ73" i="23"/>
  <c r="AK73" i="23"/>
  <c r="AJ74" i="23"/>
  <c r="AK74" i="23"/>
  <c r="AN74" i="23" s="1"/>
  <c r="AJ75" i="23"/>
  <c r="AK75" i="23"/>
  <c r="AJ76" i="23"/>
  <c r="AK76" i="23"/>
  <c r="AN76" i="23" s="1"/>
  <c r="AJ77" i="23"/>
  <c r="AK77" i="23"/>
  <c r="AJ78" i="23"/>
  <c r="AK78" i="23"/>
  <c r="AN78" i="23" s="1"/>
  <c r="AJ79" i="23"/>
  <c r="AK79" i="23"/>
  <c r="AJ80" i="23"/>
  <c r="AK80" i="23"/>
  <c r="AN80" i="23" s="1"/>
  <c r="AO80" i="23" s="1"/>
  <c r="AJ81" i="23"/>
  <c r="AK81" i="23"/>
  <c r="AJ82" i="23"/>
  <c r="AK82" i="23"/>
  <c r="AN82" i="23" s="1"/>
  <c r="AJ83" i="23"/>
  <c r="AK83" i="23"/>
  <c r="AJ84" i="23"/>
  <c r="AK84" i="23"/>
  <c r="AN84" i="23" s="1"/>
  <c r="AO84" i="23" s="1"/>
  <c r="AP84" i="23" s="1"/>
  <c r="AJ85" i="23"/>
  <c r="AK85" i="23"/>
  <c r="AJ86" i="23"/>
  <c r="AK86" i="23"/>
  <c r="AN86" i="23" s="1"/>
  <c r="AO86" i="23" s="1"/>
  <c r="AP86" i="23" s="1"/>
  <c r="AJ87" i="23"/>
  <c r="AK87" i="23"/>
  <c r="AJ88" i="23"/>
  <c r="AK88" i="23"/>
  <c r="AN88" i="23" s="1"/>
  <c r="AO88" i="23" s="1"/>
  <c r="AJ89" i="23"/>
  <c r="AK89" i="23"/>
  <c r="AJ90" i="23"/>
  <c r="AK90" i="23"/>
  <c r="AN90" i="23" s="1"/>
  <c r="AJ91" i="23"/>
  <c r="AK91" i="23"/>
  <c r="AJ92" i="23"/>
  <c r="AK92" i="23"/>
  <c r="AN92" i="23" s="1"/>
  <c r="AO92" i="23" s="1"/>
  <c r="AJ93" i="23"/>
  <c r="AK93" i="23"/>
  <c r="AJ94" i="23"/>
  <c r="AK94" i="23"/>
  <c r="AJ95" i="23"/>
  <c r="AK95" i="23"/>
  <c r="AJ96" i="23"/>
  <c r="AK96" i="23"/>
  <c r="AN96" i="23" s="1"/>
  <c r="AO96" i="23" s="1"/>
  <c r="AP96" i="23" s="1"/>
  <c r="AJ97" i="23"/>
  <c r="AK97" i="23"/>
  <c r="AJ98" i="23"/>
  <c r="AK98" i="23"/>
  <c r="AN98" i="23" s="1"/>
  <c r="AO98" i="23" s="1"/>
  <c r="AJ99" i="23"/>
  <c r="AK99" i="23"/>
  <c r="AJ100" i="23"/>
  <c r="AK100" i="23"/>
  <c r="AN100" i="23" s="1"/>
  <c r="AJ101" i="23"/>
  <c r="AK101" i="23"/>
  <c r="AJ102" i="23"/>
  <c r="AK102" i="23"/>
  <c r="AN102" i="23" s="1"/>
  <c r="AO102" i="23" s="1"/>
  <c r="AJ103" i="23"/>
  <c r="AK103" i="23"/>
  <c r="AJ104" i="23"/>
  <c r="AK104" i="23"/>
  <c r="AN104" i="23" s="1"/>
  <c r="AO104" i="23" s="1"/>
  <c r="AJ105" i="23"/>
  <c r="AK105" i="23"/>
  <c r="AJ106" i="23"/>
  <c r="AK106" i="23"/>
  <c r="AN106" i="23" s="1"/>
  <c r="AJ107" i="23"/>
  <c r="AK107" i="23"/>
  <c r="AJ108" i="23"/>
  <c r="AK108" i="23"/>
  <c r="AJ109" i="23"/>
  <c r="AK109" i="23"/>
  <c r="AJ110" i="23"/>
  <c r="AK110" i="23"/>
  <c r="AN110" i="23" s="1"/>
  <c r="AO110" i="23" s="1"/>
  <c r="AJ111" i="23"/>
  <c r="AK111" i="23"/>
  <c r="AJ112" i="23"/>
  <c r="AK112" i="23"/>
  <c r="AN112" i="23" s="1"/>
  <c r="AO112" i="23" s="1"/>
  <c r="AJ113" i="23"/>
  <c r="AK113" i="23"/>
  <c r="AJ114" i="23"/>
  <c r="AK114" i="23"/>
  <c r="AN114" i="23" s="1"/>
  <c r="AO114" i="23" s="1"/>
  <c r="AP114" i="23" s="1"/>
  <c r="AJ115" i="23"/>
  <c r="AK115" i="23"/>
  <c r="AJ116" i="23"/>
  <c r="AK116" i="23"/>
  <c r="AN116" i="23" s="1"/>
  <c r="AO116" i="23" s="1"/>
  <c r="AJ117" i="23"/>
  <c r="AK117" i="23"/>
  <c r="AJ118" i="23"/>
  <c r="AK118" i="23"/>
  <c r="AN118" i="23" s="1"/>
  <c r="AO118" i="23" s="1"/>
  <c r="AP118" i="23" s="1"/>
  <c r="AJ119" i="23"/>
  <c r="AK119" i="23"/>
  <c r="AJ120" i="23"/>
  <c r="AK120" i="23"/>
  <c r="AN120" i="23" s="1"/>
  <c r="AO120" i="23" s="1"/>
  <c r="AJ121" i="23"/>
  <c r="AK121" i="23"/>
  <c r="AJ122" i="23"/>
  <c r="AK122" i="23"/>
  <c r="AN122" i="23" s="1"/>
  <c r="AO122" i="23" s="1"/>
  <c r="AP122" i="23" s="1"/>
  <c r="AJ123" i="23"/>
  <c r="AK123" i="23"/>
  <c r="AK11" i="23"/>
  <c r="AJ11" i="23"/>
  <c r="AN11" i="23" s="1"/>
  <c r="AO11" i="23" s="1"/>
  <c r="Z12" i="23"/>
  <c r="AA12" i="23"/>
  <c r="Z13" i="23"/>
  <c r="AA13" i="23"/>
  <c r="AD13" i="23" s="1"/>
  <c r="AE13" i="23" s="1"/>
  <c r="Z14" i="23"/>
  <c r="AA14" i="23"/>
  <c r="Z15" i="23"/>
  <c r="AA15" i="23"/>
  <c r="AD15" i="23" s="1"/>
  <c r="AE15" i="23" s="1"/>
  <c r="Z16" i="23"/>
  <c r="AA16" i="23"/>
  <c r="Z17" i="23"/>
  <c r="AA17" i="23"/>
  <c r="AD17" i="23" s="1"/>
  <c r="AE17" i="23" s="1"/>
  <c r="AF17" i="23" s="1"/>
  <c r="Z18" i="23"/>
  <c r="AA18" i="23"/>
  <c r="Z19" i="23"/>
  <c r="AA19" i="23"/>
  <c r="AD19" i="23" s="1"/>
  <c r="Z20" i="23"/>
  <c r="AA20" i="23"/>
  <c r="Z21" i="23"/>
  <c r="AA21" i="23"/>
  <c r="AD21" i="23" s="1"/>
  <c r="AE21" i="23" s="1"/>
  <c r="Z22" i="23"/>
  <c r="AA22" i="23"/>
  <c r="Z23" i="23"/>
  <c r="AA23" i="23"/>
  <c r="AD23" i="23" s="1"/>
  <c r="Z24" i="23"/>
  <c r="AA24" i="23"/>
  <c r="Z25" i="23"/>
  <c r="AA25" i="23"/>
  <c r="AD25" i="23" s="1"/>
  <c r="AE25" i="23" s="1"/>
  <c r="AF25" i="23" s="1"/>
  <c r="Z26" i="23"/>
  <c r="AA26" i="23"/>
  <c r="Z27" i="23"/>
  <c r="AA27" i="23"/>
  <c r="AD27" i="23" s="1"/>
  <c r="Z28" i="23"/>
  <c r="AA28" i="23"/>
  <c r="Z29" i="23"/>
  <c r="AA29" i="23"/>
  <c r="AD29" i="23" s="1"/>
  <c r="AE29" i="23" s="1"/>
  <c r="Z30" i="23"/>
  <c r="AA30" i="23"/>
  <c r="Z31" i="23"/>
  <c r="AA31" i="23"/>
  <c r="AD31" i="23" s="1"/>
  <c r="AE31" i="23" s="1"/>
  <c r="Z32" i="23"/>
  <c r="AA32" i="23"/>
  <c r="Z33" i="23"/>
  <c r="AA33" i="23"/>
  <c r="Z34" i="23"/>
  <c r="AA34" i="23"/>
  <c r="Z35" i="23"/>
  <c r="AA35" i="23"/>
  <c r="AD35" i="23" s="1"/>
  <c r="AE35" i="23" s="1"/>
  <c r="Z36" i="23"/>
  <c r="AA36" i="23"/>
  <c r="Z37" i="23"/>
  <c r="AA37" i="23"/>
  <c r="AD37" i="23" s="1"/>
  <c r="AE37" i="23" s="1"/>
  <c r="AF37" i="23" s="1"/>
  <c r="Z38" i="23"/>
  <c r="AA38" i="23"/>
  <c r="Z39" i="23"/>
  <c r="AA39" i="23"/>
  <c r="AD39" i="23" s="1"/>
  <c r="AE39" i="23" s="1"/>
  <c r="Z40" i="23"/>
  <c r="AA40" i="23"/>
  <c r="Z41" i="23"/>
  <c r="AA41" i="23"/>
  <c r="AD41" i="23" s="1"/>
  <c r="AE41" i="23" s="1"/>
  <c r="Z42" i="23"/>
  <c r="AA42" i="23"/>
  <c r="Z43" i="23"/>
  <c r="AA43" i="23"/>
  <c r="AD43" i="23" s="1"/>
  <c r="Z44" i="23"/>
  <c r="AA44" i="23"/>
  <c r="Z45" i="23"/>
  <c r="AA45" i="23"/>
  <c r="AD45" i="23" s="1"/>
  <c r="Z46" i="23"/>
  <c r="AA46" i="23"/>
  <c r="Z47" i="23"/>
  <c r="AA47" i="23"/>
  <c r="AD47" i="23" s="1"/>
  <c r="Z48" i="23"/>
  <c r="AA48" i="23"/>
  <c r="Z49" i="23"/>
  <c r="AA49" i="23"/>
  <c r="AD49" i="23" s="1"/>
  <c r="Z50" i="23"/>
  <c r="AA50" i="23"/>
  <c r="Z51" i="23"/>
  <c r="AA51" i="23"/>
  <c r="AD51" i="23" s="1"/>
  <c r="Z52" i="23"/>
  <c r="AA52" i="23"/>
  <c r="AD52" i="23" s="1"/>
  <c r="AE52" i="23" s="1"/>
  <c r="Z53" i="23"/>
  <c r="AA53" i="23"/>
  <c r="AD53" i="23" s="1"/>
  <c r="Z54" i="23"/>
  <c r="AA54" i="23"/>
  <c r="Z55" i="23"/>
  <c r="AA55" i="23"/>
  <c r="AD55" i="23" s="1"/>
  <c r="Z56" i="23"/>
  <c r="AA56" i="23"/>
  <c r="Z57" i="23"/>
  <c r="AA57" i="23"/>
  <c r="AD57" i="23" s="1"/>
  <c r="AE57" i="23" s="1"/>
  <c r="Z58" i="23"/>
  <c r="AA58" i="23"/>
  <c r="Z59" i="23"/>
  <c r="AA59" i="23"/>
  <c r="AD59" i="23" s="1"/>
  <c r="Z60" i="23"/>
  <c r="AA60" i="23"/>
  <c r="Z61" i="23"/>
  <c r="AA61" i="23"/>
  <c r="AD61" i="23" s="1"/>
  <c r="AE61" i="23" s="1"/>
  <c r="Z62" i="23"/>
  <c r="AA62" i="23"/>
  <c r="Z63" i="23"/>
  <c r="AA63" i="23"/>
  <c r="AD63" i="23" s="1"/>
  <c r="AE63" i="23" s="1"/>
  <c r="Z64" i="23"/>
  <c r="AA64" i="23"/>
  <c r="Z65" i="23"/>
  <c r="AA65" i="23"/>
  <c r="AD65" i="23" s="1"/>
  <c r="AE65" i="23" s="1"/>
  <c r="Z66" i="23"/>
  <c r="AA66" i="23"/>
  <c r="Z67" i="23"/>
  <c r="AA67" i="23"/>
  <c r="AD67" i="23" s="1"/>
  <c r="AE67" i="23" s="1"/>
  <c r="Z68" i="23"/>
  <c r="AA68" i="23"/>
  <c r="AD68" i="23" s="1"/>
  <c r="AE68" i="23" s="1"/>
  <c r="Z69" i="23"/>
  <c r="AA69" i="23"/>
  <c r="AD69" i="23" s="1"/>
  <c r="AE69" i="23" s="1"/>
  <c r="Z70" i="23"/>
  <c r="AA70" i="23"/>
  <c r="Z71" i="23"/>
  <c r="AA71" i="23"/>
  <c r="AD71" i="23" s="1"/>
  <c r="Z72" i="23"/>
  <c r="AA72" i="23"/>
  <c r="Z73" i="23"/>
  <c r="AA73" i="23"/>
  <c r="AD73" i="23" s="1"/>
  <c r="AE73" i="23" s="1"/>
  <c r="Z74" i="23"/>
  <c r="AA74" i="23"/>
  <c r="Z75" i="23"/>
  <c r="AA75" i="23"/>
  <c r="Z76" i="23"/>
  <c r="AA76" i="23"/>
  <c r="Z77" i="23"/>
  <c r="AA77" i="23"/>
  <c r="AD77" i="23" s="1"/>
  <c r="Z78" i="23"/>
  <c r="AA78" i="23"/>
  <c r="Z79" i="23"/>
  <c r="AA79" i="23"/>
  <c r="AD79" i="23" s="1"/>
  <c r="Z80" i="23"/>
  <c r="AA80" i="23"/>
  <c r="Z81" i="23"/>
  <c r="AA81" i="23"/>
  <c r="AD81" i="23" s="1"/>
  <c r="AE81" i="23" s="1"/>
  <c r="AF81" i="23" s="1"/>
  <c r="Z82" i="23"/>
  <c r="AA82" i="23"/>
  <c r="Z83" i="23"/>
  <c r="AA83" i="23"/>
  <c r="AD83" i="23" s="1"/>
  <c r="Z84" i="23"/>
  <c r="AA84" i="23"/>
  <c r="AD84" i="23" s="1"/>
  <c r="AE84" i="23" s="1"/>
  <c r="AF84" i="23" s="1"/>
  <c r="Z85" i="23"/>
  <c r="AA85" i="23"/>
  <c r="AD85" i="23" s="1"/>
  <c r="Z86" i="23"/>
  <c r="AA86" i="23"/>
  <c r="Z87" i="23"/>
  <c r="AA87" i="23"/>
  <c r="AD87" i="23" s="1"/>
  <c r="AE87" i="23" s="1"/>
  <c r="Z88" i="23"/>
  <c r="AA88" i="23"/>
  <c r="Z89" i="23"/>
  <c r="AA89" i="23"/>
  <c r="AD89" i="23" s="1"/>
  <c r="Z90" i="23"/>
  <c r="AA90" i="23"/>
  <c r="Z91" i="23"/>
  <c r="AA91" i="23"/>
  <c r="AD91" i="23" s="1"/>
  <c r="Z92" i="23"/>
  <c r="AA92" i="23"/>
  <c r="Z93" i="23"/>
  <c r="AA93" i="23"/>
  <c r="AD93" i="23" s="1"/>
  <c r="AE93" i="23" s="1"/>
  <c r="AF93" i="23" s="1"/>
  <c r="Z94" i="23"/>
  <c r="AA94" i="23"/>
  <c r="Z95" i="23"/>
  <c r="AA95" i="23"/>
  <c r="AD95" i="23" s="1"/>
  <c r="Z96" i="23"/>
  <c r="AA96" i="23"/>
  <c r="Z97" i="23"/>
  <c r="AA97" i="23"/>
  <c r="AD97" i="23" s="1"/>
  <c r="Z98" i="23"/>
  <c r="AA98" i="23"/>
  <c r="Z99" i="23"/>
  <c r="AA99" i="23"/>
  <c r="AD99" i="23" s="1"/>
  <c r="AE99" i="23" s="1"/>
  <c r="AF99" i="23" s="1"/>
  <c r="Z100" i="23"/>
  <c r="AA100" i="23"/>
  <c r="Z101" i="23"/>
  <c r="AA101" i="23"/>
  <c r="AD101" i="23" s="1"/>
  <c r="Z102" i="23"/>
  <c r="AA102" i="23"/>
  <c r="Z103" i="23"/>
  <c r="AA103" i="23"/>
  <c r="AD103" i="23" s="1"/>
  <c r="Z104" i="23"/>
  <c r="AA104" i="23"/>
  <c r="Z105" i="23"/>
  <c r="AA105" i="23"/>
  <c r="AD105" i="23" s="1"/>
  <c r="AE105" i="23" s="1"/>
  <c r="AF105" i="23" s="1"/>
  <c r="Z106" i="23"/>
  <c r="AA106" i="23"/>
  <c r="Z107" i="23"/>
  <c r="AA107" i="23"/>
  <c r="AD107" i="23" s="1"/>
  <c r="Z108" i="23"/>
  <c r="AA108" i="23"/>
  <c r="Z109" i="23"/>
  <c r="AA109" i="23"/>
  <c r="AD109" i="23" s="1"/>
  <c r="Z110" i="23"/>
  <c r="AA110" i="23"/>
  <c r="Z111" i="23"/>
  <c r="AA111" i="23"/>
  <c r="AD111" i="23" s="1"/>
  <c r="AE111" i="23" s="1"/>
  <c r="AF111" i="23" s="1"/>
  <c r="Z112" i="23"/>
  <c r="AA112" i="23"/>
  <c r="Z113" i="23"/>
  <c r="AA113" i="23"/>
  <c r="Z114" i="23"/>
  <c r="AA114" i="23"/>
  <c r="Z115" i="23"/>
  <c r="AA115" i="23"/>
  <c r="AD115" i="23" s="1"/>
  <c r="Z116" i="23"/>
  <c r="AA116" i="23"/>
  <c r="AD116" i="23" s="1"/>
  <c r="Z117" i="23"/>
  <c r="AA117" i="23"/>
  <c r="AD117" i="23" s="1"/>
  <c r="AE117" i="23" s="1"/>
  <c r="AF117" i="23" s="1"/>
  <c r="Z118" i="23"/>
  <c r="AA118" i="23"/>
  <c r="Z119" i="23"/>
  <c r="AA119" i="23"/>
  <c r="AD119" i="23" s="1"/>
  <c r="AE119" i="23" s="1"/>
  <c r="Z120" i="23"/>
  <c r="AA120" i="23"/>
  <c r="Z121" i="23"/>
  <c r="AA121" i="23"/>
  <c r="AD121" i="23" s="1"/>
  <c r="AE121" i="23" s="1"/>
  <c r="Z122" i="23"/>
  <c r="AA122" i="23"/>
  <c r="Z123" i="23"/>
  <c r="AA123" i="23"/>
  <c r="AA11" i="23"/>
  <c r="Z11" i="23"/>
  <c r="P12" i="23"/>
  <c r="Q12" i="23"/>
  <c r="T12" i="23" s="1"/>
  <c r="P13" i="23"/>
  <c r="Q13" i="23"/>
  <c r="P14" i="23"/>
  <c r="Q14" i="23"/>
  <c r="T14" i="23" s="1"/>
  <c r="P15" i="23"/>
  <c r="Q15" i="23"/>
  <c r="P16" i="23"/>
  <c r="Q16" i="23"/>
  <c r="T16" i="23" s="1"/>
  <c r="P17" i="23"/>
  <c r="Q17" i="23"/>
  <c r="P18" i="23"/>
  <c r="Q18" i="23"/>
  <c r="T18" i="23" s="1"/>
  <c r="P19" i="23"/>
  <c r="Q19" i="23"/>
  <c r="P20" i="23"/>
  <c r="Q20" i="23"/>
  <c r="T20" i="23" s="1"/>
  <c r="P21" i="23"/>
  <c r="Q21" i="23"/>
  <c r="P22" i="23"/>
  <c r="Q22" i="23"/>
  <c r="T22" i="23" s="1"/>
  <c r="P23" i="23"/>
  <c r="Q23" i="23"/>
  <c r="P24" i="23"/>
  <c r="Q24" i="23"/>
  <c r="T24" i="23" s="1"/>
  <c r="P25" i="23"/>
  <c r="Q25" i="23"/>
  <c r="P26" i="23"/>
  <c r="Q26" i="23"/>
  <c r="T26" i="23" s="1"/>
  <c r="P27" i="23"/>
  <c r="Q27" i="23"/>
  <c r="P28" i="23"/>
  <c r="Q28" i="23"/>
  <c r="T28" i="23" s="1"/>
  <c r="U28" i="23" s="1"/>
  <c r="P29" i="23"/>
  <c r="Q29" i="23"/>
  <c r="P30" i="23"/>
  <c r="Q30" i="23"/>
  <c r="T30" i="23" s="1"/>
  <c r="P31" i="23"/>
  <c r="Q31" i="23"/>
  <c r="P32" i="23"/>
  <c r="Q32" i="23"/>
  <c r="T32" i="23" s="1"/>
  <c r="U32" i="23" s="1"/>
  <c r="P33" i="23"/>
  <c r="Q33" i="23"/>
  <c r="P34" i="23"/>
  <c r="Q34" i="23"/>
  <c r="T34" i="23" s="1"/>
  <c r="P35" i="23"/>
  <c r="Q35" i="23"/>
  <c r="P36" i="23"/>
  <c r="Q36" i="23"/>
  <c r="T36" i="23" s="1"/>
  <c r="P37" i="23"/>
  <c r="Q37" i="23"/>
  <c r="P38" i="23"/>
  <c r="Q38" i="23"/>
  <c r="T38" i="23" s="1"/>
  <c r="P39" i="23"/>
  <c r="Q39" i="23"/>
  <c r="P40" i="23"/>
  <c r="Q40" i="23"/>
  <c r="T40" i="23" s="1"/>
  <c r="P41" i="23"/>
  <c r="Q41" i="23"/>
  <c r="P42" i="23"/>
  <c r="Q42" i="23"/>
  <c r="P43" i="23"/>
  <c r="Q43" i="23"/>
  <c r="P44" i="23"/>
  <c r="Q44" i="23"/>
  <c r="T44" i="23" s="1"/>
  <c r="P45" i="23"/>
  <c r="Q45" i="23"/>
  <c r="P46" i="23"/>
  <c r="Q46" i="23"/>
  <c r="T46" i="23" s="1"/>
  <c r="U46" i="23" s="1"/>
  <c r="V46" i="23" s="1"/>
  <c r="P47" i="23"/>
  <c r="Q47" i="23"/>
  <c r="P48" i="23"/>
  <c r="Q48" i="23"/>
  <c r="T48" i="23" s="1"/>
  <c r="U48" i="23" s="1"/>
  <c r="P49" i="23"/>
  <c r="Q49" i="23"/>
  <c r="P50" i="23"/>
  <c r="Q50" i="23"/>
  <c r="T50" i="23" s="1"/>
  <c r="P51" i="23"/>
  <c r="Q51" i="23"/>
  <c r="P52" i="23"/>
  <c r="Q52" i="23"/>
  <c r="T52" i="23" s="1"/>
  <c r="P53" i="23"/>
  <c r="Q53" i="23"/>
  <c r="P54" i="23"/>
  <c r="Q54" i="23"/>
  <c r="P55" i="23"/>
  <c r="Q55" i="23"/>
  <c r="P56" i="23"/>
  <c r="Q56" i="23"/>
  <c r="T56" i="23" s="1"/>
  <c r="U56" i="23" s="1"/>
  <c r="P57" i="23"/>
  <c r="Q57" i="23"/>
  <c r="P58" i="23"/>
  <c r="Q58" i="23"/>
  <c r="T58" i="23" s="1"/>
  <c r="P59" i="23"/>
  <c r="Q59" i="23"/>
  <c r="P60" i="23"/>
  <c r="Q60" i="23"/>
  <c r="T60" i="23" s="1"/>
  <c r="P61" i="23"/>
  <c r="Q61" i="23"/>
  <c r="P62" i="23"/>
  <c r="Q62" i="23"/>
  <c r="T62" i="23" s="1"/>
  <c r="U62" i="23" s="1"/>
  <c r="P63" i="23"/>
  <c r="Q63" i="23"/>
  <c r="P64" i="23"/>
  <c r="Q64" i="23"/>
  <c r="T64" i="23" s="1"/>
  <c r="U64" i="23" s="1"/>
  <c r="P65" i="23"/>
  <c r="Q65" i="23"/>
  <c r="P66" i="23"/>
  <c r="Q66" i="23"/>
  <c r="T66" i="23" s="1"/>
  <c r="P67" i="23"/>
  <c r="Q67" i="23"/>
  <c r="P68" i="23"/>
  <c r="Q68" i="23"/>
  <c r="T68" i="23" s="1"/>
  <c r="U68" i="23" s="1"/>
  <c r="V68" i="23" s="1"/>
  <c r="P69" i="23"/>
  <c r="Q69" i="23"/>
  <c r="P70" i="23"/>
  <c r="Q70" i="23"/>
  <c r="T70" i="23" s="1"/>
  <c r="U70" i="23" s="1"/>
  <c r="V70" i="23" s="1"/>
  <c r="P71" i="23"/>
  <c r="Q71" i="23"/>
  <c r="P72" i="23"/>
  <c r="Q72" i="23"/>
  <c r="T72" i="23" s="1"/>
  <c r="U72" i="23" s="1"/>
  <c r="V72" i="23" s="1"/>
  <c r="P73" i="23"/>
  <c r="Q73" i="23"/>
  <c r="P74" i="23"/>
  <c r="Q74" i="23"/>
  <c r="T74" i="23" s="1"/>
  <c r="U74" i="23" s="1"/>
  <c r="P75" i="23"/>
  <c r="Q75" i="23"/>
  <c r="P76" i="23"/>
  <c r="Q76" i="23"/>
  <c r="T76" i="23" s="1"/>
  <c r="U76" i="23" s="1"/>
  <c r="P77" i="23"/>
  <c r="Q77" i="23"/>
  <c r="P78" i="23"/>
  <c r="Q78" i="23"/>
  <c r="T78" i="23" s="1"/>
  <c r="U78" i="23" s="1"/>
  <c r="V78" i="23" s="1"/>
  <c r="P79" i="23"/>
  <c r="Q79" i="23"/>
  <c r="P80" i="23"/>
  <c r="Q80" i="23"/>
  <c r="T80" i="23" s="1"/>
  <c r="U80" i="23" s="1"/>
  <c r="P81" i="23"/>
  <c r="Q81" i="23"/>
  <c r="P82" i="23"/>
  <c r="Q82" i="23"/>
  <c r="T82" i="23" s="1"/>
  <c r="P83" i="23"/>
  <c r="Q83" i="23"/>
  <c r="P84" i="23"/>
  <c r="Q84" i="23"/>
  <c r="T84" i="23" s="1"/>
  <c r="U84" i="23" s="1"/>
  <c r="V84" i="23" s="1"/>
  <c r="P85" i="23"/>
  <c r="Q85" i="23"/>
  <c r="P86" i="23"/>
  <c r="Q86" i="23"/>
  <c r="T86" i="23" s="1"/>
  <c r="U86" i="23" s="1"/>
  <c r="V86" i="23" s="1"/>
  <c r="P87" i="23"/>
  <c r="Q87" i="23"/>
  <c r="P88" i="23"/>
  <c r="Q88" i="23"/>
  <c r="T88" i="23" s="1"/>
  <c r="P89" i="23"/>
  <c r="Q89" i="23"/>
  <c r="P90" i="23"/>
  <c r="Q90" i="23"/>
  <c r="T90" i="23" s="1"/>
  <c r="U90" i="23" s="1"/>
  <c r="P91" i="23"/>
  <c r="Q91" i="23"/>
  <c r="P92" i="23"/>
  <c r="Q92" i="23"/>
  <c r="T92" i="23" s="1"/>
  <c r="U92" i="23" s="1"/>
  <c r="P93" i="23"/>
  <c r="Q93" i="23"/>
  <c r="P94" i="23"/>
  <c r="Q94" i="23"/>
  <c r="T94" i="23" s="1"/>
  <c r="P95" i="23"/>
  <c r="Q95" i="23"/>
  <c r="P96" i="23"/>
  <c r="Q96" i="23"/>
  <c r="P97" i="23"/>
  <c r="Q97" i="23"/>
  <c r="P98" i="23"/>
  <c r="Q98" i="23"/>
  <c r="T98" i="23" s="1"/>
  <c r="U98" i="23" s="1"/>
  <c r="P99" i="23"/>
  <c r="Q99" i="23"/>
  <c r="P100" i="23"/>
  <c r="Q100" i="23"/>
  <c r="T100" i="23" s="1"/>
  <c r="P101" i="23"/>
  <c r="Q101" i="23"/>
  <c r="P102" i="23"/>
  <c r="Q102" i="23"/>
  <c r="T102" i="23" s="1"/>
  <c r="U102" i="23" s="1"/>
  <c r="V102" i="23" s="1"/>
  <c r="P103" i="23"/>
  <c r="Q103" i="23"/>
  <c r="P104" i="23"/>
  <c r="Q104" i="23"/>
  <c r="T104" i="23" s="1"/>
  <c r="U104" i="23" s="1"/>
  <c r="P105" i="23"/>
  <c r="Q105" i="23"/>
  <c r="P106" i="23"/>
  <c r="Q106" i="23"/>
  <c r="P107" i="23"/>
  <c r="Q107" i="23"/>
  <c r="P108" i="23"/>
  <c r="Q108" i="23"/>
  <c r="T108" i="23" s="1"/>
  <c r="U108" i="23" s="1"/>
  <c r="V108" i="23" s="1"/>
  <c r="P109" i="23"/>
  <c r="Q109" i="23"/>
  <c r="P110" i="23"/>
  <c r="Q110" i="23"/>
  <c r="T110" i="23" s="1"/>
  <c r="U110" i="23" s="1"/>
  <c r="P111" i="23"/>
  <c r="Q111" i="23"/>
  <c r="P112" i="23"/>
  <c r="Q112" i="23"/>
  <c r="P113" i="23"/>
  <c r="Q113" i="23"/>
  <c r="P114" i="23"/>
  <c r="Q114" i="23"/>
  <c r="T114" i="23" s="1"/>
  <c r="U114" i="23" s="1"/>
  <c r="V114" i="23" s="1"/>
  <c r="P115" i="23"/>
  <c r="Q115" i="23"/>
  <c r="P116" i="23"/>
  <c r="Q116" i="23"/>
  <c r="P117" i="23"/>
  <c r="Q117" i="23"/>
  <c r="P118" i="23"/>
  <c r="Q118" i="23"/>
  <c r="T118" i="23" s="1"/>
  <c r="U118" i="23" s="1"/>
  <c r="P119" i="23"/>
  <c r="Q119" i="23"/>
  <c r="P120" i="23"/>
  <c r="Q120" i="23"/>
  <c r="T120" i="23" s="1"/>
  <c r="U120" i="23" s="1"/>
  <c r="V120" i="23" s="1"/>
  <c r="P121" i="23"/>
  <c r="Q121" i="23"/>
  <c r="P122" i="23"/>
  <c r="Q122" i="23"/>
  <c r="T122" i="23" s="1"/>
  <c r="U122" i="23" s="1"/>
  <c r="P123" i="23"/>
  <c r="Q123" i="23"/>
  <c r="Q11" i="23"/>
  <c r="P11" i="23"/>
  <c r="T11" i="23" s="1"/>
  <c r="U11" i="23" s="1"/>
  <c r="J12" i="23"/>
  <c r="AX12" i="23"/>
  <c r="J13" i="23"/>
  <c r="K13" i="23" s="1"/>
  <c r="J14" i="23"/>
  <c r="AX14" i="23"/>
  <c r="J15" i="23"/>
  <c r="J16" i="23"/>
  <c r="J17" i="23"/>
  <c r="K17" i="23" s="1"/>
  <c r="L17" i="23" s="1"/>
  <c r="J18" i="23"/>
  <c r="J19" i="23"/>
  <c r="K19" i="23" s="1"/>
  <c r="J20" i="23"/>
  <c r="AD20" i="23"/>
  <c r="AE20" i="23" s="1"/>
  <c r="J21" i="23"/>
  <c r="K21" i="23" s="1"/>
  <c r="J22" i="23"/>
  <c r="K22" i="23" s="1"/>
  <c r="J23" i="23"/>
  <c r="J24" i="23"/>
  <c r="K24" i="23" s="1"/>
  <c r="AX24" i="23"/>
  <c r="J25" i="23"/>
  <c r="K25" i="23" s="1"/>
  <c r="J26" i="23"/>
  <c r="J27" i="23"/>
  <c r="K27" i="23" s="1"/>
  <c r="J28" i="23"/>
  <c r="K28" i="23" s="1"/>
  <c r="J29" i="23"/>
  <c r="K29" i="23" s="1"/>
  <c r="L29" i="23" s="1"/>
  <c r="J30" i="23"/>
  <c r="J31" i="23"/>
  <c r="J32" i="23"/>
  <c r="J33" i="23"/>
  <c r="J34" i="23"/>
  <c r="J35" i="23"/>
  <c r="K35" i="23" s="1"/>
  <c r="J36" i="23"/>
  <c r="K36" i="23" s="1"/>
  <c r="AD36" i="23"/>
  <c r="J37" i="23"/>
  <c r="K37" i="23" s="1"/>
  <c r="L37" i="23" s="1"/>
  <c r="J38" i="23"/>
  <c r="J39" i="23"/>
  <c r="K39" i="23" s="1"/>
  <c r="J40" i="23"/>
  <c r="AX40" i="23"/>
  <c r="J41" i="23"/>
  <c r="K41" i="23" s="1"/>
  <c r="J42" i="23"/>
  <c r="J43" i="23"/>
  <c r="J44" i="23"/>
  <c r="J45" i="23"/>
  <c r="K45" i="23" s="1"/>
  <c r="AN45" i="23"/>
  <c r="AO45" i="23" s="1"/>
  <c r="J46" i="23"/>
  <c r="K46" i="23" s="1"/>
  <c r="L46" i="23" s="1"/>
  <c r="J47" i="23"/>
  <c r="J48" i="23"/>
  <c r="J49" i="23"/>
  <c r="J50" i="23"/>
  <c r="AX50" i="23"/>
  <c r="AY50" i="23" s="1"/>
  <c r="AZ50" i="23" s="1"/>
  <c r="J51" i="23"/>
  <c r="J52" i="23"/>
  <c r="K52" i="23" s="1"/>
  <c r="J53" i="23"/>
  <c r="K53" i="23" s="1"/>
  <c r="J54" i="23"/>
  <c r="K54" i="23" s="1"/>
  <c r="T54" i="23"/>
  <c r="U54" i="23" s="1"/>
  <c r="AX54" i="23"/>
  <c r="AY54" i="23" s="1"/>
  <c r="AZ54" i="23" s="1"/>
  <c r="J55" i="23"/>
  <c r="J56" i="23"/>
  <c r="K56" i="23" s="1"/>
  <c r="J57" i="23"/>
  <c r="K57" i="23" s="1"/>
  <c r="L57" i="23" s="1"/>
  <c r="J58" i="23"/>
  <c r="J59" i="23"/>
  <c r="J60" i="23"/>
  <c r="J61" i="23"/>
  <c r="AN61" i="23"/>
  <c r="J62" i="23"/>
  <c r="K62" i="23" s="1"/>
  <c r="J63" i="23"/>
  <c r="K63" i="23" s="1"/>
  <c r="J64" i="23"/>
  <c r="K64" i="23" s="1"/>
  <c r="J65" i="23"/>
  <c r="K65" i="23" s="1"/>
  <c r="J66" i="23"/>
  <c r="K66" i="23" s="1"/>
  <c r="AX66" i="23"/>
  <c r="AY66" i="23" s="1"/>
  <c r="J67" i="23"/>
  <c r="K67" i="23" s="1"/>
  <c r="J68" i="23"/>
  <c r="K68" i="23" s="1"/>
  <c r="AX68" i="23"/>
  <c r="AY68" i="23" s="1"/>
  <c r="AZ68" i="23" s="1"/>
  <c r="J69" i="23"/>
  <c r="K69" i="23" s="1"/>
  <c r="J70" i="23"/>
  <c r="K70" i="23" s="1"/>
  <c r="AX70" i="23"/>
  <c r="J71" i="23"/>
  <c r="K71" i="23" s="1"/>
  <c r="L71" i="23" s="1"/>
  <c r="J72" i="23"/>
  <c r="K72" i="23" s="1"/>
  <c r="L72" i="23" s="1"/>
  <c r="J73" i="23"/>
  <c r="K73" i="23" s="1"/>
  <c r="J74" i="23"/>
  <c r="J75" i="23"/>
  <c r="K75" i="23" s="1"/>
  <c r="J76" i="23"/>
  <c r="K76" i="23" s="1"/>
  <c r="J77" i="23"/>
  <c r="K77" i="23" s="1"/>
  <c r="AN77" i="23"/>
  <c r="AO77" i="23" s="1"/>
  <c r="J78" i="23"/>
  <c r="K78" i="23" s="1"/>
  <c r="J79" i="23"/>
  <c r="K79" i="23" s="1"/>
  <c r="J80" i="23"/>
  <c r="K80" i="23" s="1"/>
  <c r="J81" i="23"/>
  <c r="K81" i="23" s="1"/>
  <c r="L81" i="23" s="1"/>
  <c r="J82" i="23"/>
  <c r="K82" i="23" s="1"/>
  <c r="AX82" i="23"/>
  <c r="J83" i="23"/>
  <c r="K83" i="23" s="1"/>
  <c r="L83" i="23" s="1"/>
  <c r="J84" i="23"/>
  <c r="K84" i="23" s="1"/>
  <c r="AX84" i="23"/>
  <c r="AY84" i="23" s="1"/>
  <c r="AZ84" i="23" s="1"/>
  <c r="J85" i="23"/>
  <c r="K85" i="23" s="1"/>
  <c r="J86" i="23"/>
  <c r="K86" i="23" s="1"/>
  <c r="AX86" i="23"/>
  <c r="J87" i="23"/>
  <c r="K87" i="23" s="1"/>
  <c r="J88" i="23"/>
  <c r="J89" i="23"/>
  <c r="K89" i="23" s="1"/>
  <c r="J90" i="23"/>
  <c r="J91" i="23"/>
  <c r="K91" i="23" s="1"/>
  <c r="J92" i="23"/>
  <c r="K92" i="23" s="1"/>
  <c r="J93" i="23"/>
  <c r="K93" i="23" s="1"/>
  <c r="L93" i="23" s="1"/>
  <c r="J94" i="23"/>
  <c r="J95" i="23"/>
  <c r="K95" i="23" s="1"/>
  <c r="J96" i="23"/>
  <c r="K96" i="23" s="1"/>
  <c r="J97" i="23"/>
  <c r="K97" i="23" s="1"/>
  <c r="J98" i="23"/>
  <c r="K98" i="23" s="1"/>
  <c r="J99" i="23"/>
  <c r="K99" i="23" s="1"/>
  <c r="L99" i="23" s="1"/>
  <c r="J100" i="23"/>
  <c r="K100" i="23" s="1"/>
  <c r="J101" i="23"/>
  <c r="K101" i="23" s="1"/>
  <c r="L101" i="23" s="1"/>
  <c r="AN101" i="23"/>
  <c r="AO101" i="23" s="1"/>
  <c r="J102" i="23"/>
  <c r="K102" i="23" s="1"/>
  <c r="J103" i="23"/>
  <c r="K103" i="23" s="1"/>
  <c r="J104" i="23"/>
  <c r="K104" i="23" s="1"/>
  <c r="J105" i="23"/>
  <c r="K105" i="23" s="1"/>
  <c r="J106" i="23"/>
  <c r="K106" i="23" s="1"/>
  <c r="J107" i="23"/>
  <c r="K107" i="23" s="1"/>
  <c r="J108" i="23"/>
  <c r="K108" i="23" s="1"/>
  <c r="J109" i="23"/>
  <c r="K109" i="23" s="1"/>
  <c r="AN109" i="23"/>
  <c r="AO109" i="23" s="1"/>
  <c r="J110" i="23"/>
  <c r="K110" i="23" s="1"/>
  <c r="J111" i="23"/>
  <c r="K111" i="23" s="1"/>
  <c r="L111" i="23" s="1"/>
  <c r="J112" i="23"/>
  <c r="K112" i="23" s="1"/>
  <c r="J113" i="23"/>
  <c r="K113" i="23" s="1"/>
  <c r="L113" i="23" s="1"/>
  <c r="J114" i="23"/>
  <c r="K114" i="23" s="1"/>
  <c r="AX114" i="23"/>
  <c r="AY114" i="23" s="1"/>
  <c r="AZ114" i="23" s="1"/>
  <c r="J115" i="23"/>
  <c r="K115" i="23" s="1"/>
  <c r="J116" i="23"/>
  <c r="K116" i="23" s="1"/>
  <c r="AX116" i="23"/>
  <c r="AY116" i="23" s="1"/>
  <c r="J117" i="23"/>
  <c r="K117" i="23" s="1"/>
  <c r="J118" i="23"/>
  <c r="K118" i="23" s="1"/>
  <c r="J119" i="23"/>
  <c r="J120" i="23"/>
  <c r="K120" i="23" s="1"/>
  <c r="AX120" i="23"/>
  <c r="AY120" i="23" s="1"/>
  <c r="AZ120" i="23" s="1"/>
  <c r="J121" i="23"/>
  <c r="K121" i="23" s="1"/>
  <c r="J122" i="23"/>
  <c r="K122" i="23" s="1"/>
  <c r="J123" i="23"/>
  <c r="K123" i="23" s="1"/>
  <c r="A43" i="23"/>
  <c r="B43" i="23"/>
  <c r="C43" i="23"/>
  <c r="H43" i="23" s="1"/>
  <c r="R43" i="23" s="1"/>
  <c r="AB43" i="23" s="1"/>
  <c r="AL43" i="23" s="1"/>
  <c r="A44" i="23"/>
  <c r="B44" i="23"/>
  <c r="C44" i="23"/>
  <c r="H44" i="23" s="1"/>
  <c r="R44" i="23" s="1"/>
  <c r="AB44" i="23" s="1"/>
  <c r="AL44" i="23" s="1"/>
  <c r="AV44" i="23" s="1"/>
  <c r="A45" i="23"/>
  <c r="B45" i="23"/>
  <c r="C45" i="23"/>
  <c r="H45" i="23" s="1"/>
  <c r="R45" i="23" s="1"/>
  <c r="AB45" i="23" s="1"/>
  <c r="A46" i="23"/>
  <c r="B46" i="23"/>
  <c r="C46" i="23"/>
  <c r="R46" i="23" s="1"/>
  <c r="AB46" i="23" s="1"/>
  <c r="A47" i="23"/>
  <c r="B47" i="23"/>
  <c r="C47" i="23"/>
  <c r="H47" i="23" s="1"/>
  <c r="R47" i="23" s="1"/>
  <c r="AB47" i="23" s="1"/>
  <c r="A48" i="23"/>
  <c r="B48" i="23"/>
  <c r="C48" i="23"/>
  <c r="H48" i="23" s="1"/>
  <c r="R48" i="23" s="1"/>
  <c r="AB48" i="23" s="1"/>
  <c r="AL48" i="23" s="1"/>
  <c r="AV48" i="23" s="1"/>
  <c r="A49" i="23"/>
  <c r="B49" i="23"/>
  <c r="C49" i="23"/>
  <c r="H49" i="23" s="1"/>
  <c r="R49" i="23" s="1"/>
  <c r="AB49" i="23" s="1"/>
  <c r="AL49" i="23" s="1"/>
  <c r="AV49" i="23" s="1"/>
  <c r="A50" i="23"/>
  <c r="B50" i="23"/>
  <c r="C50" i="23"/>
  <c r="H50" i="23" s="1"/>
  <c r="R50" i="23" s="1"/>
  <c r="A51" i="23"/>
  <c r="B51" i="23"/>
  <c r="C51" i="23"/>
  <c r="H51" i="23" s="1"/>
  <c r="R51" i="23" s="1"/>
  <c r="AB51" i="23" s="1"/>
  <c r="A52" i="23"/>
  <c r="B52" i="23"/>
  <c r="C52" i="23"/>
  <c r="R52" i="23" s="1"/>
  <c r="AB52" i="23" s="1"/>
  <c r="AL52" i="23" s="1"/>
  <c r="AV52" i="23" s="1"/>
  <c r="A53" i="23"/>
  <c r="B53" i="23"/>
  <c r="C53" i="23"/>
  <c r="H53" i="23" s="1"/>
  <c r="R53" i="23" s="1"/>
  <c r="A54" i="23"/>
  <c r="B54" i="23"/>
  <c r="C54" i="23"/>
  <c r="H54" i="23" s="1"/>
  <c r="R54" i="23" s="1"/>
  <c r="AB54" i="23" s="1"/>
  <c r="AL54" i="23" s="1"/>
  <c r="A55" i="23"/>
  <c r="B55" i="23"/>
  <c r="C55" i="23"/>
  <c r="H55" i="23" s="1"/>
  <c r="R55" i="23" s="1"/>
  <c r="AB55" i="23" s="1"/>
  <c r="A56" i="23"/>
  <c r="B56" i="23"/>
  <c r="C56" i="23"/>
  <c r="H56" i="23" s="1"/>
  <c r="R56" i="23" s="1"/>
  <c r="AB56" i="23" s="1"/>
  <c r="AL56" i="23" s="1"/>
  <c r="AV56" i="23" s="1"/>
  <c r="A57" i="23"/>
  <c r="B57" i="23"/>
  <c r="C57" i="23"/>
  <c r="H57" i="23" s="1"/>
  <c r="R57" i="23" s="1"/>
  <c r="A58" i="23"/>
  <c r="B58" i="23"/>
  <c r="C58" i="23"/>
  <c r="H58" i="23" s="1"/>
  <c r="R58" i="23" s="1"/>
  <c r="AB58" i="23" s="1"/>
  <c r="AL58" i="23" s="1"/>
  <c r="A59" i="23"/>
  <c r="B59" i="23"/>
  <c r="C59" i="23"/>
  <c r="H59" i="23" s="1"/>
  <c r="R59" i="23" s="1"/>
  <c r="A60" i="23"/>
  <c r="B60" i="23"/>
  <c r="C60" i="23"/>
  <c r="H60" i="23" s="1"/>
  <c r="R60" i="23" s="1"/>
  <c r="AB60" i="23" s="1"/>
  <c r="A61" i="23"/>
  <c r="B61" i="23"/>
  <c r="C61" i="23"/>
  <c r="H61" i="23" s="1"/>
  <c r="R61" i="23" s="1"/>
  <c r="AB61" i="23" s="1"/>
  <c r="AL61" i="23" s="1"/>
  <c r="AV61" i="23" s="1"/>
  <c r="A62" i="23"/>
  <c r="B62" i="23"/>
  <c r="C62" i="23"/>
  <c r="H62" i="23" s="1"/>
  <c r="R62" i="23" s="1"/>
  <c r="A63" i="23"/>
  <c r="B63" i="23"/>
  <c r="C63" i="23"/>
  <c r="H63" i="23" s="1"/>
  <c r="R63" i="23" s="1"/>
  <c r="AB63" i="23" s="1"/>
  <c r="AL63" i="23" s="1"/>
  <c r="AV63" i="23" s="1"/>
  <c r="A64" i="23"/>
  <c r="B64" i="23"/>
  <c r="C64" i="23"/>
  <c r="H64" i="23" s="1"/>
  <c r="R64" i="23" s="1"/>
  <c r="AB64" i="23" s="1"/>
  <c r="A65" i="23"/>
  <c r="B65" i="23"/>
  <c r="C65" i="23"/>
  <c r="H65" i="23" s="1"/>
  <c r="R65" i="23" s="1"/>
  <c r="AB65" i="23" s="1"/>
  <c r="A66" i="23"/>
  <c r="B66" i="23"/>
  <c r="C66" i="23"/>
  <c r="H66" i="23" s="1"/>
  <c r="R66" i="23" s="1"/>
  <c r="A67" i="23"/>
  <c r="B67" i="23"/>
  <c r="C67" i="23"/>
  <c r="H67" i="23" s="1"/>
  <c r="R67" i="23" s="1"/>
  <c r="AB67" i="23" s="1"/>
  <c r="AL67" i="23" s="1"/>
  <c r="AV67" i="23" s="1"/>
  <c r="A68" i="23"/>
  <c r="B68" i="23"/>
  <c r="C68" i="23"/>
  <c r="H68" i="23" s="1"/>
  <c r="R68" i="23" s="1"/>
  <c r="A69" i="23"/>
  <c r="B69" i="23"/>
  <c r="C69" i="23"/>
  <c r="H69" i="23" s="1"/>
  <c r="R69" i="23" s="1"/>
  <c r="AB69" i="23" s="1"/>
  <c r="AL69" i="23" s="1"/>
  <c r="AV69" i="23" s="1"/>
  <c r="A70" i="23"/>
  <c r="B70" i="23"/>
  <c r="C70" i="23"/>
  <c r="H70" i="23" s="1"/>
  <c r="R70" i="23" s="1"/>
  <c r="AB70" i="23" s="1"/>
  <c r="A71" i="23"/>
  <c r="B71" i="23"/>
  <c r="C71" i="23"/>
  <c r="H71" i="23" s="1"/>
  <c r="R71" i="23" s="1"/>
  <c r="AB71" i="23" s="1"/>
  <c r="AL71" i="23" s="1"/>
  <c r="AV71" i="23" s="1"/>
  <c r="A72" i="23"/>
  <c r="B72" i="23"/>
  <c r="C72" i="23"/>
  <c r="H72" i="23" s="1"/>
  <c r="R72" i="23" s="1"/>
  <c r="A73" i="23"/>
  <c r="B73" i="23"/>
  <c r="C73" i="23"/>
  <c r="H73" i="23" s="1"/>
  <c r="R73" i="23" s="1"/>
  <c r="AB73" i="23" s="1"/>
  <c r="AL73" i="23" s="1"/>
  <c r="AV73" i="23" s="1"/>
  <c r="A74" i="23"/>
  <c r="B74" i="23"/>
  <c r="C74" i="23"/>
  <c r="H74" i="23" s="1"/>
  <c r="A75" i="23"/>
  <c r="B75" i="23"/>
  <c r="C75" i="23"/>
  <c r="H75" i="23" s="1"/>
  <c r="R75" i="23" s="1"/>
  <c r="AB75" i="23" s="1"/>
  <c r="A76" i="23"/>
  <c r="B76" i="23"/>
  <c r="C76" i="23"/>
  <c r="H76" i="23" s="1"/>
  <c r="R76" i="23" s="1"/>
  <c r="AB76" i="23" s="1"/>
  <c r="AL76" i="23" s="1"/>
  <c r="A77" i="23"/>
  <c r="B77" i="23"/>
  <c r="C77" i="23"/>
  <c r="H77" i="23" s="1"/>
  <c r="R77" i="23" s="1"/>
  <c r="A78" i="23"/>
  <c r="B78" i="23"/>
  <c r="C78" i="23"/>
  <c r="H78" i="23" s="1"/>
  <c r="R78" i="23" s="1"/>
  <c r="AB78" i="23" s="1"/>
  <c r="AL78" i="23" s="1"/>
  <c r="A79" i="23"/>
  <c r="B79" i="23"/>
  <c r="C79" i="23"/>
  <c r="H79" i="23" s="1"/>
  <c r="R79" i="23" s="1"/>
  <c r="AB79" i="23" s="1"/>
  <c r="AL79" i="23" s="1"/>
  <c r="AV79" i="23" s="1"/>
  <c r="A80" i="23"/>
  <c r="B80" i="23"/>
  <c r="C80" i="23"/>
  <c r="H80" i="23" s="1"/>
  <c r="R80" i="23" s="1"/>
  <c r="AB80" i="23" s="1"/>
  <c r="A81" i="23"/>
  <c r="B81" i="23"/>
  <c r="C81" i="23"/>
  <c r="H81" i="23" s="1"/>
  <c r="R81" i="23" s="1"/>
  <c r="AB81" i="23" s="1"/>
  <c r="AL81" i="23" s="1"/>
  <c r="AV81" i="23" s="1"/>
  <c r="A82" i="23"/>
  <c r="B82" i="23"/>
  <c r="C82" i="23"/>
  <c r="H82" i="23" s="1"/>
  <c r="R82" i="23" s="1"/>
  <c r="AB82" i="23" s="1"/>
  <c r="AL82" i="23" s="1"/>
  <c r="A83" i="23"/>
  <c r="B83" i="23"/>
  <c r="C83" i="23"/>
  <c r="H83" i="23" s="1"/>
  <c r="R83" i="23" s="1"/>
  <c r="A84" i="23"/>
  <c r="B84" i="23"/>
  <c r="C84" i="23"/>
  <c r="H84" i="23" s="1"/>
  <c r="R84" i="23" s="1"/>
  <c r="AB84" i="23" s="1"/>
  <c r="AL84" i="23" s="1"/>
  <c r="A85" i="23"/>
  <c r="B85" i="23"/>
  <c r="C85" i="23"/>
  <c r="H85" i="23" s="1"/>
  <c r="R85" i="23" s="1"/>
  <c r="AB85" i="23" s="1"/>
  <c r="AL85" i="23" s="1"/>
  <c r="AV85" i="23" s="1"/>
  <c r="A86" i="23"/>
  <c r="B86" i="23"/>
  <c r="C86" i="23"/>
  <c r="H86" i="23" s="1"/>
  <c r="R86" i="23" s="1"/>
  <c r="AB86" i="23" s="1"/>
  <c r="AL86" i="23" s="1"/>
  <c r="AV86" i="23" s="1"/>
  <c r="A87" i="23"/>
  <c r="B87" i="23"/>
  <c r="C87" i="23"/>
  <c r="H87" i="23" s="1"/>
  <c r="R87" i="23" s="1"/>
  <c r="AB87" i="23" s="1"/>
  <c r="AL87" i="23" s="1"/>
  <c r="A88" i="23"/>
  <c r="B88" i="23"/>
  <c r="C88" i="23"/>
  <c r="H88" i="23" s="1"/>
  <c r="R88" i="23" s="1"/>
  <c r="AB88" i="23" s="1"/>
  <c r="AL88" i="23" s="1"/>
  <c r="AV88" i="23" s="1"/>
  <c r="A89" i="23"/>
  <c r="B89" i="23"/>
  <c r="C89" i="23"/>
  <c r="H89" i="23" s="1"/>
  <c r="R89" i="23" s="1"/>
  <c r="A90" i="23"/>
  <c r="B90" i="23"/>
  <c r="C90" i="23"/>
  <c r="H90" i="23" s="1"/>
  <c r="R90" i="23" s="1"/>
  <c r="AB90" i="23" s="1"/>
  <c r="A91" i="23"/>
  <c r="B91" i="23"/>
  <c r="C91" i="23"/>
  <c r="H91" i="23" s="1"/>
  <c r="R91" i="23" s="1"/>
  <c r="AB91" i="23" s="1"/>
  <c r="AL91" i="23" s="1"/>
  <c r="AV91" i="23" s="1"/>
  <c r="A92" i="23"/>
  <c r="B92" i="23"/>
  <c r="C92" i="23"/>
  <c r="H92" i="23" s="1"/>
  <c r="R92" i="23" s="1"/>
  <c r="AB92" i="23" s="1"/>
  <c r="A93" i="23"/>
  <c r="B93" i="23"/>
  <c r="C93" i="23"/>
  <c r="H93" i="23" s="1"/>
  <c r="R93" i="23" s="1"/>
  <c r="A94" i="23"/>
  <c r="B94" i="23"/>
  <c r="C94" i="23"/>
  <c r="H94" i="23" s="1"/>
  <c r="R94" i="23" s="1"/>
  <c r="AB94" i="23" s="1"/>
  <c r="AL94" i="23" s="1"/>
  <c r="AV94" i="23" s="1"/>
  <c r="A95" i="23"/>
  <c r="B95" i="23"/>
  <c r="C95" i="23"/>
  <c r="H95" i="23" s="1"/>
  <c r="R95" i="23" s="1"/>
  <c r="A96" i="23"/>
  <c r="B96" i="23"/>
  <c r="C96" i="23"/>
  <c r="H96" i="23" s="1"/>
  <c r="R96" i="23" s="1"/>
  <c r="AB96" i="23" s="1"/>
  <c r="A97" i="23"/>
  <c r="B97" i="23"/>
  <c r="C97" i="23"/>
  <c r="H97" i="23" s="1"/>
  <c r="A98" i="23"/>
  <c r="B98" i="23"/>
  <c r="C98" i="23"/>
  <c r="H98" i="23" s="1"/>
  <c r="R98" i="23" s="1"/>
  <c r="AB98" i="23" s="1"/>
  <c r="AL98" i="23" s="1"/>
  <c r="AV98" i="23" s="1"/>
  <c r="A99" i="23"/>
  <c r="B99" i="23"/>
  <c r="C99" i="23"/>
  <c r="H99" i="23" s="1"/>
  <c r="R99" i="23" s="1"/>
  <c r="AB99" i="23" s="1"/>
  <c r="AL99" i="23" s="1"/>
  <c r="AV99" i="23" s="1"/>
  <c r="A100" i="23"/>
  <c r="B100" i="23"/>
  <c r="C100" i="23"/>
  <c r="H100" i="23" s="1"/>
  <c r="R100" i="23" s="1"/>
  <c r="AB100" i="23" s="1"/>
  <c r="AL100" i="23" s="1"/>
  <c r="AV100" i="23" s="1"/>
  <c r="A101" i="23"/>
  <c r="B101" i="23"/>
  <c r="C101" i="23"/>
  <c r="H101" i="23" s="1"/>
  <c r="R101" i="23" s="1"/>
  <c r="A102" i="23"/>
  <c r="B102" i="23"/>
  <c r="C102" i="23"/>
  <c r="H102" i="23" s="1"/>
  <c r="R102" i="23" s="1"/>
  <c r="AB102" i="23" s="1"/>
  <c r="AL102" i="23" s="1"/>
  <c r="A103" i="23"/>
  <c r="B103" i="23"/>
  <c r="C103" i="23"/>
  <c r="H103" i="23" s="1"/>
  <c r="R103" i="23" s="1"/>
  <c r="AB103" i="23" s="1"/>
  <c r="AL103" i="23" s="1"/>
  <c r="AV103" i="23" s="1"/>
  <c r="A104" i="23"/>
  <c r="B104" i="23"/>
  <c r="C104" i="23"/>
  <c r="R104" i="23" s="1"/>
  <c r="AB104" i="23" s="1"/>
  <c r="A105" i="23"/>
  <c r="B105" i="23"/>
  <c r="C105" i="23"/>
  <c r="H105" i="23" s="1"/>
  <c r="R105" i="23" s="1"/>
  <c r="AB105" i="23" s="1"/>
  <c r="AL105" i="23" s="1"/>
  <c r="AV105" i="23" s="1"/>
  <c r="A106" i="23"/>
  <c r="B106" i="23"/>
  <c r="C106" i="23"/>
  <c r="R106" i="23" s="1"/>
  <c r="AB106" i="23" s="1"/>
  <c r="AL106" i="23" s="1"/>
  <c r="A107" i="23"/>
  <c r="B107" i="23"/>
  <c r="C107" i="23"/>
  <c r="H107" i="23" s="1"/>
  <c r="R107" i="23" s="1"/>
  <c r="A108" i="23"/>
  <c r="B108" i="23"/>
  <c r="C108" i="23"/>
  <c r="H108" i="23" s="1"/>
  <c r="R108" i="23" s="1"/>
  <c r="AB108" i="23" s="1"/>
  <c r="AL108" i="23" s="1"/>
  <c r="A109" i="23"/>
  <c r="B109" i="23"/>
  <c r="C109" i="23"/>
  <c r="H109" i="23" s="1"/>
  <c r="R109" i="23" s="1"/>
  <c r="AB109" i="23" s="1"/>
  <c r="AL109" i="23" s="1"/>
  <c r="AV109" i="23" s="1"/>
  <c r="A110" i="23"/>
  <c r="B110" i="23"/>
  <c r="C110" i="23"/>
  <c r="H110" i="23" s="1"/>
  <c r="R110" i="23" s="1"/>
  <c r="AB110" i="23" s="1"/>
  <c r="A111" i="23"/>
  <c r="B111" i="23"/>
  <c r="C111" i="23"/>
  <c r="H111" i="23" s="1"/>
  <c r="R111" i="23" s="1"/>
  <c r="A112" i="23"/>
  <c r="B112" i="23"/>
  <c r="C112" i="23"/>
  <c r="H112" i="23" s="1"/>
  <c r="R112" i="23" s="1"/>
  <c r="AB112" i="23" s="1"/>
  <c r="AL112" i="23" s="1"/>
  <c r="AV112" i="23" s="1"/>
  <c r="A113" i="23"/>
  <c r="B113" i="23"/>
  <c r="C113" i="23"/>
  <c r="H113" i="23" s="1"/>
  <c r="R113" i="23" s="1"/>
  <c r="A114" i="23"/>
  <c r="B114" i="23"/>
  <c r="C114" i="23"/>
  <c r="H114" i="23" s="1"/>
  <c r="R114" i="23" s="1"/>
  <c r="AB114" i="23" s="1"/>
  <c r="AL114" i="23" s="1"/>
  <c r="A115" i="23"/>
  <c r="B115" i="23"/>
  <c r="C115" i="23"/>
  <c r="H115" i="23" s="1"/>
  <c r="R115" i="23" s="1"/>
  <c r="AB115" i="23" s="1"/>
  <c r="A116" i="23"/>
  <c r="B116" i="23"/>
  <c r="C116" i="23"/>
  <c r="H116" i="23" s="1"/>
  <c r="R116" i="23" s="1"/>
  <c r="AB116" i="23" s="1"/>
  <c r="AL116" i="23" s="1"/>
  <c r="AV116" i="23" s="1"/>
  <c r="A117" i="23"/>
  <c r="B117" i="23"/>
  <c r="C117" i="23"/>
  <c r="H117" i="23" s="1"/>
  <c r="R117" i="23" s="1"/>
  <c r="AB117" i="23" s="1"/>
  <c r="A118" i="23"/>
  <c r="B118" i="23"/>
  <c r="C118" i="23"/>
  <c r="H118" i="23" s="1"/>
  <c r="R118" i="23" s="1"/>
  <c r="A119" i="23"/>
  <c r="B119" i="23"/>
  <c r="C119" i="23"/>
  <c r="H119" i="23" s="1"/>
  <c r="R119" i="23" s="1"/>
  <c r="AB119" i="23" s="1"/>
  <c r="AL119" i="23" s="1"/>
  <c r="AV119" i="23" s="1"/>
  <c r="A120" i="23"/>
  <c r="B120" i="23"/>
  <c r="C120" i="23"/>
  <c r="H120" i="23" s="1"/>
  <c r="R120" i="23" s="1"/>
  <c r="AB120" i="23" s="1"/>
  <c r="A121" i="23"/>
  <c r="B121" i="23"/>
  <c r="C121" i="23"/>
  <c r="H121" i="23" s="1"/>
  <c r="R121" i="23" s="1"/>
  <c r="AB121" i="23" s="1"/>
  <c r="AL121" i="23" s="1"/>
  <c r="A122" i="23"/>
  <c r="B122" i="23"/>
  <c r="C122" i="23"/>
  <c r="H122" i="23" s="1"/>
  <c r="R122" i="23" s="1"/>
  <c r="A123" i="23"/>
  <c r="B123" i="23"/>
  <c r="C123" i="23"/>
  <c r="H123" i="23" s="1"/>
  <c r="R123" i="23" s="1"/>
  <c r="A12" i="23"/>
  <c r="B12" i="23"/>
  <c r="C12" i="23"/>
  <c r="H12" i="23" s="1"/>
  <c r="R12" i="23" s="1"/>
  <c r="AB12" i="23" s="1"/>
  <c r="AL12" i="23" s="1"/>
  <c r="AV12" i="23" s="1"/>
  <c r="A13" i="23"/>
  <c r="B13" i="23"/>
  <c r="C13" i="23"/>
  <c r="H13" i="23" s="1"/>
  <c r="R13" i="23" s="1"/>
  <c r="AB13" i="23" s="1"/>
  <c r="A14" i="23"/>
  <c r="B14" i="23"/>
  <c r="C14" i="23"/>
  <c r="H14" i="23" s="1"/>
  <c r="R14" i="23" s="1"/>
  <c r="AB14" i="23" s="1"/>
  <c r="AL14" i="23" s="1"/>
  <c r="A15" i="23"/>
  <c r="B15" i="23"/>
  <c r="C15" i="23"/>
  <c r="H15" i="23" s="1"/>
  <c r="R15" i="23" s="1"/>
  <c r="AB15" i="23" s="1"/>
  <c r="AL15" i="23" s="1"/>
  <c r="AV15" i="23" s="1"/>
  <c r="A16" i="23"/>
  <c r="B16" i="23"/>
  <c r="C16" i="23"/>
  <c r="H16" i="23" s="1"/>
  <c r="R16" i="23" s="1"/>
  <c r="AB16" i="23" s="1"/>
  <c r="AL16" i="23" s="1"/>
  <c r="AV16" i="23" s="1"/>
  <c r="A17" i="23"/>
  <c r="B17" i="23"/>
  <c r="C17" i="23"/>
  <c r="H17" i="23" s="1"/>
  <c r="R17" i="23" s="1"/>
  <c r="AB17" i="23" s="1"/>
  <c r="AL17" i="23" s="1"/>
  <c r="AV17" i="23" s="1"/>
  <c r="A18" i="23"/>
  <c r="B18" i="23"/>
  <c r="C18" i="23"/>
  <c r="R18" i="23" s="1"/>
  <c r="A19" i="23"/>
  <c r="B19" i="23"/>
  <c r="C19" i="23"/>
  <c r="R19" i="23" s="1"/>
  <c r="AB19" i="23" s="1"/>
  <c r="AL19" i="23" s="1"/>
  <c r="AV19" i="23" s="1"/>
  <c r="A20" i="23"/>
  <c r="B20" i="23"/>
  <c r="C20" i="23"/>
  <c r="H20" i="23" s="1"/>
  <c r="R20" i="23" s="1"/>
  <c r="AB20" i="23" s="1"/>
  <c r="A21" i="23"/>
  <c r="B21" i="23"/>
  <c r="C21" i="23"/>
  <c r="H21" i="23" s="1"/>
  <c r="R21" i="23" s="1"/>
  <c r="A22" i="23"/>
  <c r="B22" i="23"/>
  <c r="C22" i="23"/>
  <c r="H22" i="23" s="1"/>
  <c r="R22" i="23" s="1"/>
  <c r="AB22" i="23" s="1"/>
  <c r="AL22" i="23" s="1"/>
  <c r="AV22" i="23" s="1"/>
  <c r="A23" i="23"/>
  <c r="B23" i="23"/>
  <c r="C23" i="23"/>
  <c r="H23" i="23" s="1"/>
  <c r="R23" i="23" s="1"/>
  <c r="AB23" i="23" s="1"/>
  <c r="AL23" i="23" s="1"/>
  <c r="AV23" i="23" s="1"/>
  <c r="A24" i="23"/>
  <c r="B24" i="23"/>
  <c r="C24" i="23"/>
  <c r="R24" i="23" s="1"/>
  <c r="A25" i="23"/>
  <c r="B25" i="23"/>
  <c r="C25" i="23"/>
  <c r="H25" i="23" s="1"/>
  <c r="R25" i="23" s="1"/>
  <c r="A26" i="23"/>
  <c r="B26" i="23"/>
  <c r="C26" i="23"/>
  <c r="H26" i="23" s="1"/>
  <c r="R26" i="23" s="1"/>
  <c r="A27" i="23"/>
  <c r="B27" i="23"/>
  <c r="C27" i="23"/>
  <c r="H27" i="23" s="1"/>
  <c r="R27" i="23" s="1"/>
  <c r="AB27" i="23" s="1"/>
  <c r="AL27" i="23" s="1"/>
  <c r="AV27" i="23" s="1"/>
  <c r="A28" i="23"/>
  <c r="B28" i="23"/>
  <c r="C28" i="23"/>
  <c r="H28" i="23" s="1"/>
  <c r="R28" i="23" s="1"/>
  <c r="AB28" i="23" s="1"/>
  <c r="A29" i="23"/>
  <c r="B29" i="23"/>
  <c r="C29" i="23"/>
  <c r="H29" i="23" s="1"/>
  <c r="R29" i="23" s="1"/>
  <c r="AB29" i="23" s="1"/>
  <c r="A30" i="23"/>
  <c r="B30" i="23"/>
  <c r="C30" i="23"/>
  <c r="H30" i="23" s="1"/>
  <c r="R30" i="23" s="1"/>
  <c r="AB30" i="23" s="1"/>
  <c r="A31" i="23"/>
  <c r="B31" i="23"/>
  <c r="C31" i="23"/>
  <c r="H31" i="23" s="1"/>
  <c r="R31" i="23" s="1"/>
  <c r="AB31" i="23" s="1"/>
  <c r="AL31" i="23" s="1"/>
  <c r="AV31" i="23" s="1"/>
  <c r="A32" i="23"/>
  <c r="B32" i="23"/>
  <c r="C32" i="23"/>
  <c r="H32" i="23" s="1"/>
  <c r="R32" i="23" s="1"/>
  <c r="AB32" i="23" s="1"/>
  <c r="A33" i="23"/>
  <c r="B33" i="23"/>
  <c r="C33" i="23"/>
  <c r="H33" i="23" s="1"/>
  <c r="R33" i="23" s="1"/>
  <c r="AB33" i="23" s="1"/>
  <c r="A34" i="23"/>
  <c r="B34" i="23"/>
  <c r="C34" i="23"/>
  <c r="H34" i="23" s="1"/>
  <c r="R34" i="23" s="1"/>
  <c r="AB34" i="23" s="1"/>
  <c r="A35" i="23"/>
  <c r="B35" i="23"/>
  <c r="C35" i="23"/>
  <c r="H35" i="23" s="1"/>
  <c r="R35" i="23" s="1"/>
  <c r="AB35" i="23" s="1"/>
  <c r="AL35" i="23" s="1"/>
  <c r="AV35" i="23" s="1"/>
  <c r="A36" i="23"/>
  <c r="B36" i="23"/>
  <c r="C36" i="23"/>
  <c r="H36" i="23" s="1"/>
  <c r="R36" i="23" s="1"/>
  <c r="A37" i="23"/>
  <c r="B37" i="23"/>
  <c r="C37" i="23"/>
  <c r="H37" i="23" s="1"/>
  <c r="R37" i="23" s="1"/>
  <c r="AB37" i="23" s="1"/>
  <c r="AL37" i="23" s="1"/>
  <c r="AV37" i="23" s="1"/>
  <c r="A38" i="23"/>
  <c r="B38" i="23"/>
  <c r="C38" i="23"/>
  <c r="H38" i="23" s="1"/>
  <c r="R38" i="23" s="1"/>
  <c r="AB38" i="23" s="1"/>
  <c r="A39" i="23"/>
  <c r="B39" i="23"/>
  <c r="C39" i="23"/>
  <c r="H39" i="23" s="1"/>
  <c r="R39" i="23" s="1"/>
  <c r="AB39" i="23" s="1"/>
  <c r="AL39" i="23" s="1"/>
  <c r="AV39" i="23" s="1"/>
  <c r="A40" i="23"/>
  <c r="B40" i="23"/>
  <c r="C40" i="23"/>
  <c r="H40" i="23" s="1"/>
  <c r="R40" i="23" s="1"/>
  <c r="AB40" i="23" s="1"/>
  <c r="A41" i="23"/>
  <c r="B41" i="23"/>
  <c r="C41" i="23"/>
  <c r="H41" i="23" s="1"/>
  <c r="R41" i="23" s="1"/>
  <c r="AB41" i="23" s="1"/>
  <c r="A42" i="23"/>
  <c r="B42" i="23"/>
  <c r="C42" i="23"/>
  <c r="R42" i="23" s="1"/>
  <c r="C11" i="23"/>
  <c r="H11" i="23" s="1"/>
  <c r="R11" i="23" s="1"/>
  <c r="B11" i="23"/>
  <c r="A11" i="23"/>
  <c r="B926" i="76"/>
  <c r="R6" i="54"/>
  <c r="T6" i="54"/>
  <c r="A12" i="54"/>
  <c r="B12" i="54"/>
  <c r="C12" i="54"/>
  <c r="D12" i="54"/>
  <c r="E12" i="54"/>
  <c r="F12" i="54"/>
  <c r="G12" i="54"/>
  <c r="I12" i="54"/>
  <c r="K12" i="54"/>
  <c r="L12" i="54"/>
  <c r="O12" i="54"/>
  <c r="U12" i="54" s="1"/>
  <c r="V12" i="54"/>
  <c r="W12" i="54" s="1"/>
  <c r="C13" i="54"/>
  <c r="A14" i="54"/>
  <c r="B14" i="54"/>
  <c r="C14" i="54"/>
  <c r="D14" i="54"/>
  <c r="E14" i="54"/>
  <c r="F14" i="54"/>
  <c r="G14" i="54"/>
  <c r="I14" i="54"/>
  <c r="K14" i="54"/>
  <c r="L14" i="54"/>
  <c r="O14" i="54"/>
  <c r="C15" i="54"/>
  <c r="A16" i="54"/>
  <c r="B16" i="54"/>
  <c r="C16" i="54"/>
  <c r="D16" i="54"/>
  <c r="E16" i="54"/>
  <c r="F16" i="54"/>
  <c r="G16" i="54"/>
  <c r="O16" i="54" s="1"/>
  <c r="U16" i="54" s="1"/>
  <c r="I16" i="54"/>
  <c r="K16" i="54"/>
  <c r="L16" i="54"/>
  <c r="C17" i="54"/>
  <c r="A18" i="54"/>
  <c r="B18" i="54"/>
  <c r="C18" i="54"/>
  <c r="V18" i="54" s="1"/>
  <c r="D18" i="54"/>
  <c r="E18" i="54"/>
  <c r="F18" i="54"/>
  <c r="G18" i="54"/>
  <c r="I18" i="54"/>
  <c r="J18" i="54"/>
  <c r="K18" i="54"/>
  <c r="L18" i="54"/>
  <c r="O18" i="54"/>
  <c r="A19" i="54"/>
  <c r="B19" i="54"/>
  <c r="C19" i="54"/>
  <c r="V19" i="54" s="1"/>
  <c r="D19" i="54"/>
  <c r="E19" i="54"/>
  <c r="F19" i="54"/>
  <c r="G19" i="54"/>
  <c r="O19" i="54" s="1"/>
  <c r="I19" i="54"/>
  <c r="J19" i="54"/>
  <c r="K19" i="54"/>
  <c r="L19" i="54"/>
  <c r="A20" i="54"/>
  <c r="B20" i="54"/>
  <c r="C20" i="54"/>
  <c r="V20" i="54" s="1"/>
  <c r="D20" i="54"/>
  <c r="E20" i="54"/>
  <c r="F20" i="54"/>
  <c r="G20" i="54"/>
  <c r="O20" i="54" s="1"/>
  <c r="I20" i="54"/>
  <c r="J20" i="54"/>
  <c r="K20" i="54"/>
  <c r="L20" i="54"/>
  <c r="A21" i="54"/>
  <c r="B21" i="54"/>
  <c r="C21" i="54"/>
  <c r="V21" i="54" s="1"/>
  <c r="D21" i="54"/>
  <c r="E21" i="54"/>
  <c r="F21" i="54"/>
  <c r="G21" i="54"/>
  <c r="O21" i="54" s="1"/>
  <c r="U21" i="54" s="1"/>
  <c r="I21" i="54"/>
  <c r="J21" i="54"/>
  <c r="K21" i="54"/>
  <c r="L21" i="54"/>
  <c r="A22" i="54"/>
  <c r="B22" i="54"/>
  <c r="C22" i="54"/>
  <c r="V22" i="54" s="1"/>
  <c r="W22" i="54" s="1"/>
  <c r="D22" i="54"/>
  <c r="E22" i="54"/>
  <c r="F22" i="54"/>
  <c r="G22" i="54"/>
  <c r="I22" i="54"/>
  <c r="J22" i="54"/>
  <c r="K22" i="54"/>
  <c r="L22" i="54"/>
  <c r="U22" i="54"/>
  <c r="A23" i="54"/>
  <c r="B23" i="54"/>
  <c r="C23" i="54"/>
  <c r="V23" i="54" s="1"/>
  <c r="D23" i="54"/>
  <c r="E23" i="54"/>
  <c r="F23" i="54"/>
  <c r="G23" i="54"/>
  <c r="I23" i="54"/>
  <c r="J23" i="54"/>
  <c r="K23" i="54"/>
  <c r="L23" i="54"/>
  <c r="U23" i="54"/>
  <c r="A24" i="54"/>
  <c r="B24" i="54"/>
  <c r="C24" i="54"/>
  <c r="V24" i="54" s="1"/>
  <c r="D24" i="54"/>
  <c r="E24" i="54"/>
  <c r="F24" i="54"/>
  <c r="G24" i="54"/>
  <c r="O24" i="54" s="1"/>
  <c r="I24" i="54"/>
  <c r="J24" i="54"/>
  <c r="K24" i="54"/>
  <c r="L24" i="54"/>
  <c r="A25" i="54"/>
  <c r="B25" i="54"/>
  <c r="C25" i="54"/>
  <c r="V25" i="54" s="1"/>
  <c r="D25" i="54"/>
  <c r="E25" i="54"/>
  <c r="F25" i="54"/>
  <c r="G25" i="54"/>
  <c r="O25" i="54" s="1"/>
  <c r="I25" i="54"/>
  <c r="J25" i="54"/>
  <c r="K25" i="54"/>
  <c r="L25" i="54"/>
  <c r="A26" i="54"/>
  <c r="B26" i="54"/>
  <c r="C26" i="54"/>
  <c r="V26" i="54" s="1"/>
  <c r="D26" i="54"/>
  <c r="E26" i="54"/>
  <c r="F26" i="54"/>
  <c r="G26" i="54"/>
  <c r="O26" i="54" s="1"/>
  <c r="I26" i="54"/>
  <c r="J26" i="54"/>
  <c r="K26" i="54"/>
  <c r="L26" i="54"/>
  <c r="A27" i="54"/>
  <c r="B27" i="54"/>
  <c r="C27" i="54"/>
  <c r="V27" i="54" s="1"/>
  <c r="D27" i="54"/>
  <c r="E27" i="54"/>
  <c r="F27" i="54"/>
  <c r="G27" i="54"/>
  <c r="O27" i="54" s="1"/>
  <c r="U27" i="54" s="1"/>
  <c r="I27" i="54"/>
  <c r="J27" i="54"/>
  <c r="K27" i="54"/>
  <c r="L27" i="54"/>
  <c r="A28" i="54"/>
  <c r="B28" i="54"/>
  <c r="C28" i="54"/>
  <c r="D28" i="54"/>
  <c r="E28" i="54"/>
  <c r="F28" i="54"/>
  <c r="G28" i="54"/>
  <c r="I28" i="54"/>
  <c r="J28" i="54"/>
  <c r="K28" i="54"/>
  <c r="L28" i="54"/>
  <c r="U28" i="54"/>
  <c r="V28" i="54"/>
  <c r="A29" i="54"/>
  <c r="B29" i="54"/>
  <c r="C29" i="54"/>
  <c r="V29" i="54" s="1"/>
  <c r="D29" i="54"/>
  <c r="E29" i="54"/>
  <c r="F29" i="54"/>
  <c r="G29" i="54"/>
  <c r="O29" i="54" s="1"/>
  <c r="U29" i="54" s="1"/>
  <c r="I29" i="54"/>
  <c r="J29" i="54"/>
  <c r="K29" i="54"/>
  <c r="L29" i="54"/>
  <c r="A30" i="54"/>
  <c r="B30" i="54"/>
  <c r="C30" i="54"/>
  <c r="V30" i="54" s="1"/>
  <c r="D30" i="54"/>
  <c r="E30" i="54"/>
  <c r="F30" i="54"/>
  <c r="G30" i="54"/>
  <c r="O30" i="54" s="1"/>
  <c r="U30" i="54" s="1"/>
  <c r="I30" i="54"/>
  <c r="J30" i="54"/>
  <c r="K30" i="54"/>
  <c r="L30" i="54"/>
  <c r="A31" i="54"/>
  <c r="B31" i="54"/>
  <c r="C31" i="54"/>
  <c r="V31" i="54" s="1"/>
  <c r="D31" i="54"/>
  <c r="E31" i="54"/>
  <c r="F31" i="54"/>
  <c r="G31" i="54"/>
  <c r="O31" i="54" s="1"/>
  <c r="U31" i="54" s="1"/>
  <c r="I31" i="54"/>
  <c r="J31" i="54"/>
  <c r="K31" i="54"/>
  <c r="L31" i="54"/>
  <c r="A32" i="54"/>
  <c r="B32" i="54"/>
  <c r="C32" i="54"/>
  <c r="V32" i="54" s="1"/>
  <c r="D32" i="54"/>
  <c r="E32" i="54"/>
  <c r="F32" i="54"/>
  <c r="G32" i="54"/>
  <c r="O32" i="54" s="1"/>
  <c r="I32" i="54"/>
  <c r="J32" i="54"/>
  <c r="K32" i="54"/>
  <c r="L32" i="54"/>
  <c r="U32" i="54"/>
  <c r="A33" i="54"/>
  <c r="B33" i="54"/>
  <c r="C33" i="54"/>
  <c r="V33" i="54" s="1"/>
  <c r="D33" i="54"/>
  <c r="E33" i="54"/>
  <c r="F33" i="54"/>
  <c r="G33" i="54"/>
  <c r="O33" i="54" s="1"/>
  <c r="U33" i="54" s="1"/>
  <c r="I33" i="54"/>
  <c r="J33" i="54"/>
  <c r="K33" i="54"/>
  <c r="L33" i="54"/>
  <c r="A34" i="54"/>
  <c r="B34" i="54"/>
  <c r="C34" i="54"/>
  <c r="V34" i="54" s="1"/>
  <c r="D34" i="54"/>
  <c r="E34" i="54"/>
  <c r="F34" i="54"/>
  <c r="G34" i="54"/>
  <c r="O34" i="54" s="1"/>
  <c r="U34" i="54" s="1"/>
  <c r="I34" i="54"/>
  <c r="J34" i="54"/>
  <c r="K34" i="54"/>
  <c r="L34" i="54"/>
  <c r="A35" i="54"/>
  <c r="B35" i="54"/>
  <c r="C35" i="54"/>
  <c r="V35" i="54" s="1"/>
  <c r="D35" i="54"/>
  <c r="E35" i="54"/>
  <c r="F35" i="54"/>
  <c r="G35" i="54"/>
  <c r="O35" i="54" s="1"/>
  <c r="I35" i="54"/>
  <c r="J35" i="54"/>
  <c r="K35" i="54"/>
  <c r="L35" i="54"/>
  <c r="A36" i="54"/>
  <c r="B36" i="54"/>
  <c r="C36" i="54"/>
  <c r="V36" i="54" s="1"/>
  <c r="D36" i="54"/>
  <c r="E36" i="54"/>
  <c r="F36" i="54"/>
  <c r="G36" i="54"/>
  <c r="O36" i="54" s="1"/>
  <c r="I36" i="54"/>
  <c r="J36" i="54"/>
  <c r="K36" i="54"/>
  <c r="L36" i="54"/>
  <c r="A37" i="54"/>
  <c r="B37" i="54"/>
  <c r="C37" i="54"/>
  <c r="V37" i="54" s="1"/>
  <c r="D37" i="54"/>
  <c r="E37" i="54"/>
  <c r="F37" i="54"/>
  <c r="G37" i="54"/>
  <c r="O37" i="54" s="1"/>
  <c r="U37" i="54" s="1"/>
  <c r="I37" i="54"/>
  <c r="J37" i="54"/>
  <c r="K37" i="54"/>
  <c r="L37" i="54"/>
  <c r="A38" i="54"/>
  <c r="B38" i="54"/>
  <c r="C38" i="54"/>
  <c r="V38" i="54" s="1"/>
  <c r="D38" i="54"/>
  <c r="E38" i="54"/>
  <c r="F38" i="54"/>
  <c r="G38" i="54"/>
  <c r="O38" i="54" s="1"/>
  <c r="U38" i="54" s="1"/>
  <c r="I38" i="54"/>
  <c r="J38" i="54"/>
  <c r="K38" i="54"/>
  <c r="L38" i="54"/>
  <c r="A39" i="54"/>
  <c r="B39" i="54"/>
  <c r="C39" i="54"/>
  <c r="V39" i="54" s="1"/>
  <c r="D39" i="54"/>
  <c r="E39" i="54"/>
  <c r="F39" i="54"/>
  <c r="G39" i="54"/>
  <c r="O39" i="54" s="1"/>
  <c r="I39" i="54"/>
  <c r="J39" i="54"/>
  <c r="K39" i="54"/>
  <c r="L39" i="54"/>
  <c r="U39" i="54"/>
  <c r="A40" i="54"/>
  <c r="B40" i="54"/>
  <c r="C40" i="54"/>
  <c r="V40" i="54" s="1"/>
  <c r="D40" i="54"/>
  <c r="E40" i="54"/>
  <c r="F40" i="54"/>
  <c r="G40" i="54"/>
  <c r="I40" i="54"/>
  <c r="J40" i="54"/>
  <c r="K40" i="54"/>
  <c r="L40" i="54"/>
  <c r="O40" i="54"/>
  <c r="U40" i="54" s="1"/>
  <c r="A41" i="54"/>
  <c r="B41" i="54"/>
  <c r="C41" i="54"/>
  <c r="V41" i="54" s="1"/>
  <c r="D41" i="54"/>
  <c r="E41" i="54"/>
  <c r="F41" i="54"/>
  <c r="G41" i="54"/>
  <c r="O41" i="54" s="1"/>
  <c r="I41" i="54"/>
  <c r="J41" i="54"/>
  <c r="K41" i="54"/>
  <c r="L41" i="54"/>
  <c r="A42" i="54"/>
  <c r="B42" i="54"/>
  <c r="C42" i="54"/>
  <c r="V42" i="54" s="1"/>
  <c r="D42" i="54"/>
  <c r="E42" i="54"/>
  <c r="F42" i="54"/>
  <c r="G42" i="54"/>
  <c r="O42" i="54" s="1"/>
  <c r="U42" i="54" s="1"/>
  <c r="I42" i="54"/>
  <c r="J42" i="54"/>
  <c r="K42" i="54"/>
  <c r="L42" i="54"/>
  <c r="A43" i="54"/>
  <c r="B43" i="54"/>
  <c r="C43" i="54"/>
  <c r="V43" i="54" s="1"/>
  <c r="D43" i="54"/>
  <c r="E43" i="54"/>
  <c r="F43" i="54"/>
  <c r="G43" i="54"/>
  <c r="O43" i="54" s="1"/>
  <c r="I43" i="54"/>
  <c r="J43" i="54"/>
  <c r="K43" i="54"/>
  <c r="L43" i="54"/>
  <c r="A44" i="54"/>
  <c r="B44" i="54"/>
  <c r="C44" i="54"/>
  <c r="V44" i="54" s="1"/>
  <c r="D44" i="54"/>
  <c r="E44" i="54"/>
  <c r="F44" i="54"/>
  <c r="G44" i="54"/>
  <c r="O44" i="54" s="1"/>
  <c r="I44" i="54"/>
  <c r="J44" i="54"/>
  <c r="K44" i="54"/>
  <c r="L44" i="54"/>
  <c r="U44" i="54"/>
  <c r="A45" i="54"/>
  <c r="B45" i="54"/>
  <c r="C45" i="54"/>
  <c r="V45" i="54" s="1"/>
  <c r="D45" i="54"/>
  <c r="E45" i="54"/>
  <c r="F45" i="54"/>
  <c r="G45" i="54"/>
  <c r="I45" i="54"/>
  <c r="J45" i="54"/>
  <c r="K45" i="54"/>
  <c r="L45" i="54"/>
  <c r="O45" i="54"/>
  <c r="U45" i="54" s="1"/>
  <c r="A46" i="54"/>
  <c r="B46" i="54"/>
  <c r="C46" i="54"/>
  <c r="V46" i="54" s="1"/>
  <c r="W46" i="54" s="1"/>
  <c r="D46" i="54"/>
  <c r="E46" i="54"/>
  <c r="F46" i="54"/>
  <c r="G46" i="54"/>
  <c r="I46" i="54"/>
  <c r="J46" i="54"/>
  <c r="K46" i="54"/>
  <c r="L46" i="54"/>
  <c r="U46" i="54"/>
  <c r="A47" i="54"/>
  <c r="B47" i="54"/>
  <c r="C47" i="54"/>
  <c r="V47" i="54" s="1"/>
  <c r="D47" i="54"/>
  <c r="E47" i="54"/>
  <c r="F47" i="54"/>
  <c r="G47" i="54"/>
  <c r="I47" i="54"/>
  <c r="J47" i="54"/>
  <c r="K47" i="54"/>
  <c r="L47" i="54"/>
  <c r="O47" i="54"/>
  <c r="U47" i="54" s="1"/>
  <c r="A48" i="54"/>
  <c r="B48" i="54"/>
  <c r="C48" i="54"/>
  <c r="V48" i="54" s="1"/>
  <c r="D48" i="54"/>
  <c r="E48" i="54"/>
  <c r="F48" i="54"/>
  <c r="G48" i="54"/>
  <c r="O48" i="54" s="1"/>
  <c r="U48" i="54" s="1"/>
  <c r="I48" i="54"/>
  <c r="J48" i="54"/>
  <c r="K48" i="54"/>
  <c r="L48" i="54"/>
  <c r="A49" i="54"/>
  <c r="B49" i="54"/>
  <c r="C49" i="54"/>
  <c r="V49" i="54" s="1"/>
  <c r="D49" i="54"/>
  <c r="E49" i="54"/>
  <c r="F49" i="54"/>
  <c r="G49" i="54"/>
  <c r="O49" i="54" s="1"/>
  <c r="U49" i="54" s="1"/>
  <c r="I49" i="54"/>
  <c r="J49" i="54"/>
  <c r="K49" i="54"/>
  <c r="L49" i="54"/>
  <c r="A50" i="54"/>
  <c r="B50" i="54"/>
  <c r="C50" i="54"/>
  <c r="V50" i="54" s="1"/>
  <c r="W50" i="54" s="1"/>
  <c r="D50" i="54"/>
  <c r="E50" i="54"/>
  <c r="F50" i="54"/>
  <c r="G50" i="54"/>
  <c r="I50" i="54"/>
  <c r="J50" i="54"/>
  <c r="K50" i="54"/>
  <c r="L50" i="54"/>
  <c r="U50" i="54"/>
  <c r="A51" i="54"/>
  <c r="B51" i="54"/>
  <c r="C51" i="54"/>
  <c r="V51" i="54" s="1"/>
  <c r="D51" i="54"/>
  <c r="E51" i="54"/>
  <c r="F51" i="54"/>
  <c r="G51" i="54"/>
  <c r="O51" i="54" s="1"/>
  <c r="U51" i="54" s="1"/>
  <c r="I51" i="54"/>
  <c r="J51" i="54"/>
  <c r="K51" i="54"/>
  <c r="L51" i="54"/>
  <c r="A52" i="54"/>
  <c r="B52" i="54"/>
  <c r="C52" i="54"/>
  <c r="V52" i="54" s="1"/>
  <c r="D52" i="54"/>
  <c r="E52" i="54"/>
  <c r="F52" i="54"/>
  <c r="G52" i="54"/>
  <c r="O52" i="54" s="1"/>
  <c r="I52" i="54"/>
  <c r="J52" i="54"/>
  <c r="K52" i="54"/>
  <c r="L52" i="54"/>
  <c r="A53" i="54"/>
  <c r="B53" i="54"/>
  <c r="C53" i="54"/>
  <c r="V53" i="54" s="1"/>
  <c r="D53" i="54"/>
  <c r="E53" i="54"/>
  <c r="F53" i="54"/>
  <c r="G53" i="54"/>
  <c r="O53" i="54" s="1"/>
  <c r="U53" i="54" s="1"/>
  <c r="I53" i="54"/>
  <c r="J53" i="54"/>
  <c r="K53" i="54"/>
  <c r="L53" i="54"/>
  <c r="A54" i="54"/>
  <c r="B54" i="54"/>
  <c r="C54" i="54"/>
  <c r="V54" i="54" s="1"/>
  <c r="D54" i="54"/>
  <c r="E54" i="54"/>
  <c r="F54" i="54"/>
  <c r="G54" i="54"/>
  <c r="O54" i="54" s="1"/>
  <c r="I54" i="54"/>
  <c r="J54" i="54"/>
  <c r="K54" i="54"/>
  <c r="L54" i="54"/>
  <c r="A55" i="54"/>
  <c r="B55" i="54"/>
  <c r="C55" i="54"/>
  <c r="V55" i="54" s="1"/>
  <c r="D55" i="54"/>
  <c r="E55" i="54"/>
  <c r="F55" i="54"/>
  <c r="G55" i="54"/>
  <c r="O55" i="54" s="1"/>
  <c r="U55" i="54" s="1"/>
  <c r="I55" i="54"/>
  <c r="J55" i="54"/>
  <c r="K55" i="54"/>
  <c r="L55" i="54"/>
  <c r="A56" i="54"/>
  <c r="B56" i="54"/>
  <c r="C56" i="54"/>
  <c r="V56" i="54" s="1"/>
  <c r="D56" i="54"/>
  <c r="E56" i="54"/>
  <c r="F56" i="54"/>
  <c r="G56" i="54"/>
  <c r="I56" i="54"/>
  <c r="J56" i="54"/>
  <c r="K56" i="54"/>
  <c r="L56" i="54"/>
  <c r="U56" i="54"/>
  <c r="A57" i="54"/>
  <c r="B57" i="54"/>
  <c r="C57" i="54"/>
  <c r="V57" i="54" s="1"/>
  <c r="D57" i="54"/>
  <c r="E57" i="54"/>
  <c r="F57" i="54"/>
  <c r="G57" i="54"/>
  <c r="O57" i="54" s="1"/>
  <c r="U57" i="54" s="1"/>
  <c r="I57" i="54"/>
  <c r="J57" i="54"/>
  <c r="K57" i="54"/>
  <c r="L57" i="54"/>
  <c r="A58" i="54"/>
  <c r="B58" i="54"/>
  <c r="C58" i="54"/>
  <c r="V58" i="54" s="1"/>
  <c r="D58" i="54"/>
  <c r="E58" i="54"/>
  <c r="F58" i="54"/>
  <c r="G58" i="54"/>
  <c r="O58" i="54" s="1"/>
  <c r="U58" i="54" s="1"/>
  <c r="I58" i="54"/>
  <c r="J58" i="54"/>
  <c r="K58" i="54"/>
  <c r="L58" i="54"/>
  <c r="A59" i="54"/>
  <c r="B59" i="54"/>
  <c r="C59" i="54"/>
  <c r="V59" i="54" s="1"/>
  <c r="D59" i="54"/>
  <c r="E59" i="54"/>
  <c r="F59" i="54"/>
  <c r="G59" i="54"/>
  <c r="O59" i="54" s="1"/>
  <c r="U59" i="54" s="1"/>
  <c r="I59" i="54"/>
  <c r="J59" i="54"/>
  <c r="K59" i="54"/>
  <c r="L59" i="54"/>
  <c r="A60" i="54"/>
  <c r="B60" i="54"/>
  <c r="C60" i="54"/>
  <c r="V60" i="54" s="1"/>
  <c r="D60" i="54"/>
  <c r="E60" i="54"/>
  <c r="F60" i="54"/>
  <c r="G60" i="54"/>
  <c r="O60" i="54" s="1"/>
  <c r="U60" i="54" s="1"/>
  <c r="I60" i="54"/>
  <c r="J60" i="54"/>
  <c r="K60" i="54"/>
  <c r="L60" i="54"/>
  <c r="C61" i="54"/>
  <c r="A62" i="54"/>
  <c r="B62" i="54"/>
  <c r="C62" i="54"/>
  <c r="D62" i="54"/>
  <c r="E62" i="54"/>
  <c r="F62" i="54"/>
  <c r="G62" i="54"/>
  <c r="O62" i="54" s="1"/>
  <c r="I62" i="54"/>
  <c r="J62" i="54"/>
  <c r="K62" i="54"/>
  <c r="L62" i="54"/>
  <c r="A63" i="54"/>
  <c r="B63" i="54"/>
  <c r="C63" i="54"/>
  <c r="D63" i="54"/>
  <c r="E63" i="54"/>
  <c r="F63" i="54"/>
  <c r="G63" i="54"/>
  <c r="O63" i="54" s="1"/>
  <c r="I63" i="54"/>
  <c r="J63" i="54"/>
  <c r="K63" i="54"/>
  <c r="L63" i="54"/>
  <c r="C64" i="54"/>
  <c r="A65" i="54"/>
  <c r="B65" i="54"/>
  <c r="C65" i="54"/>
  <c r="D65" i="54"/>
  <c r="E65" i="54"/>
  <c r="F65" i="54"/>
  <c r="G65" i="54"/>
  <c r="I65" i="54"/>
  <c r="K65" i="54"/>
  <c r="L65" i="54"/>
  <c r="O65" i="54"/>
  <c r="U65" i="54" s="1"/>
  <c r="C66" i="54"/>
  <c r="A67" i="54"/>
  <c r="B67" i="54"/>
  <c r="C67" i="54"/>
  <c r="D67" i="54"/>
  <c r="E67" i="54"/>
  <c r="F67" i="54"/>
  <c r="G67" i="54"/>
  <c r="I67" i="54"/>
  <c r="K67" i="54"/>
  <c r="L67" i="54"/>
  <c r="O67" i="54"/>
  <c r="U67" i="54"/>
  <c r="C68" i="54"/>
  <c r="A69" i="54"/>
  <c r="B69" i="54"/>
  <c r="C69" i="54"/>
  <c r="D69" i="54"/>
  <c r="E69" i="54"/>
  <c r="F69" i="54"/>
  <c r="G69" i="54"/>
  <c r="I69" i="54"/>
  <c r="K69" i="54"/>
  <c r="L69" i="54"/>
  <c r="U69" i="54"/>
  <c r="A70" i="54"/>
  <c r="B70" i="54"/>
  <c r="C70" i="54"/>
  <c r="D70" i="54"/>
  <c r="E70" i="54"/>
  <c r="F70" i="54"/>
  <c r="G70" i="54"/>
  <c r="O70" i="54" s="1"/>
  <c r="I70" i="54"/>
  <c r="J70" i="54"/>
  <c r="K70" i="54"/>
  <c r="L70" i="54"/>
  <c r="U70" i="54"/>
  <c r="C71" i="54"/>
  <c r="A72" i="54"/>
  <c r="B72" i="54"/>
  <c r="C72" i="54"/>
  <c r="D72" i="54"/>
  <c r="E72" i="54"/>
  <c r="F72" i="54"/>
  <c r="G72" i="54"/>
  <c r="I72" i="54"/>
  <c r="J72" i="54"/>
  <c r="K72" i="54"/>
  <c r="L72" i="54"/>
  <c r="U72" i="54"/>
  <c r="A73" i="54"/>
  <c r="B73" i="54"/>
  <c r="C73" i="54"/>
  <c r="D73" i="54"/>
  <c r="E73" i="54"/>
  <c r="F73" i="54"/>
  <c r="G73" i="54"/>
  <c r="O73" i="54" s="1"/>
  <c r="U73" i="54" s="1"/>
  <c r="I73" i="54"/>
  <c r="J73" i="54"/>
  <c r="K73" i="54"/>
  <c r="L73" i="54"/>
  <c r="A74" i="54"/>
  <c r="B74" i="54"/>
  <c r="C74" i="54"/>
  <c r="D74" i="54"/>
  <c r="E74" i="54"/>
  <c r="F74" i="54"/>
  <c r="G74" i="54"/>
  <c r="O74" i="54" s="1"/>
  <c r="U74" i="54" s="1"/>
  <c r="I74" i="54"/>
  <c r="J74" i="54"/>
  <c r="K74" i="54"/>
  <c r="L74" i="54"/>
  <c r="A75" i="54"/>
  <c r="B75" i="54"/>
  <c r="C75" i="54"/>
  <c r="D75" i="54"/>
  <c r="E75" i="54"/>
  <c r="F75" i="54"/>
  <c r="G75" i="54"/>
  <c r="O75" i="54" s="1"/>
  <c r="I75" i="54"/>
  <c r="J75" i="54"/>
  <c r="K75" i="54"/>
  <c r="L75" i="54"/>
  <c r="A76" i="54"/>
  <c r="B76" i="54"/>
  <c r="C76" i="54"/>
  <c r="D76" i="54"/>
  <c r="E76" i="54"/>
  <c r="F76" i="54"/>
  <c r="G76" i="54"/>
  <c r="O76" i="54" s="1"/>
  <c r="U76" i="54" s="1"/>
  <c r="I76" i="54"/>
  <c r="J76" i="54"/>
  <c r="K76" i="54"/>
  <c r="L76" i="54"/>
  <c r="C77" i="54"/>
  <c r="A78" i="54"/>
  <c r="B78" i="54"/>
  <c r="C78" i="54"/>
  <c r="D78" i="54"/>
  <c r="E78" i="54"/>
  <c r="F78" i="54"/>
  <c r="G78" i="54"/>
  <c r="I78" i="54"/>
  <c r="K78" i="54"/>
  <c r="L78" i="54"/>
  <c r="O78" i="54"/>
  <c r="C79" i="54"/>
  <c r="A80" i="54"/>
  <c r="B80" i="54"/>
  <c r="C80" i="54"/>
  <c r="D80" i="54"/>
  <c r="E80" i="54"/>
  <c r="F80" i="54"/>
  <c r="G80" i="54"/>
  <c r="I80" i="54"/>
  <c r="K80" i="54"/>
  <c r="L80" i="54"/>
  <c r="O80" i="54"/>
  <c r="U80" i="54" s="1"/>
  <c r="A81" i="54"/>
  <c r="B81" i="54"/>
  <c r="C81" i="54"/>
  <c r="D81" i="54"/>
  <c r="E81" i="54"/>
  <c r="F81" i="54"/>
  <c r="G81" i="54"/>
  <c r="I81" i="54"/>
  <c r="K81" i="54"/>
  <c r="L81" i="54"/>
  <c r="O81" i="54"/>
  <c r="A82" i="54"/>
  <c r="B82" i="54"/>
  <c r="C82" i="54"/>
  <c r="D82" i="54"/>
  <c r="E82" i="54"/>
  <c r="F82" i="54"/>
  <c r="G82" i="54"/>
  <c r="O82" i="54" s="1"/>
  <c r="I82" i="54"/>
  <c r="J82" i="54"/>
  <c r="K82" i="54"/>
  <c r="L82" i="54"/>
  <c r="C83" i="54"/>
  <c r="A84" i="54"/>
  <c r="B84" i="54"/>
  <c r="C84" i="54"/>
  <c r="D84" i="54"/>
  <c r="E84" i="54"/>
  <c r="F84" i="54"/>
  <c r="G84" i="54"/>
  <c r="I84" i="54"/>
  <c r="K84" i="54"/>
  <c r="L84" i="54"/>
  <c r="O84" i="54"/>
  <c r="C85" i="54"/>
  <c r="A86" i="54"/>
  <c r="B86" i="54"/>
  <c r="C86" i="54"/>
  <c r="D86" i="54"/>
  <c r="E86" i="54"/>
  <c r="F86" i="54"/>
  <c r="G86" i="54"/>
  <c r="O86" i="54" s="1"/>
  <c r="I86" i="54"/>
  <c r="K86" i="54"/>
  <c r="L86" i="54"/>
  <c r="C87" i="54"/>
  <c r="A88" i="54"/>
  <c r="B88" i="54"/>
  <c r="C88" i="54"/>
  <c r="D88" i="54"/>
  <c r="E88" i="54"/>
  <c r="F88" i="54"/>
  <c r="G88" i="54"/>
  <c r="O88" i="54" s="1"/>
  <c r="U88" i="54" s="1"/>
  <c r="I88" i="54"/>
  <c r="K88" i="54"/>
  <c r="L88" i="54"/>
  <c r="C89" i="54"/>
  <c r="A90" i="54"/>
  <c r="B90" i="54"/>
  <c r="C90" i="54"/>
  <c r="D90" i="54"/>
  <c r="E90" i="54"/>
  <c r="F90" i="54"/>
  <c r="G90" i="54"/>
  <c r="O90" i="54" s="1"/>
  <c r="U90" i="54" s="1"/>
  <c r="I90" i="54"/>
  <c r="K90" i="54"/>
  <c r="L90" i="54"/>
  <c r="C91" i="54"/>
  <c r="A92" i="54"/>
  <c r="B92" i="54"/>
  <c r="C92" i="54"/>
  <c r="D92" i="54"/>
  <c r="E92" i="54"/>
  <c r="F92" i="54"/>
  <c r="G92" i="54"/>
  <c r="I92" i="54"/>
  <c r="K92" i="54"/>
  <c r="L92" i="54"/>
  <c r="O92" i="54"/>
  <c r="U92" i="54" s="1"/>
  <c r="C93" i="54"/>
  <c r="A94" i="54"/>
  <c r="B94" i="54"/>
  <c r="C94" i="54"/>
  <c r="D94" i="54"/>
  <c r="E94" i="54"/>
  <c r="F94" i="54"/>
  <c r="G94" i="54"/>
  <c r="I94" i="54"/>
  <c r="K94" i="54"/>
  <c r="L94" i="54"/>
  <c r="O94" i="54"/>
  <c r="U94" i="54" s="1"/>
  <c r="A95" i="54"/>
  <c r="B95" i="54"/>
  <c r="C95" i="54"/>
  <c r="D95" i="54"/>
  <c r="E95" i="54"/>
  <c r="F95" i="54"/>
  <c r="G95" i="54"/>
  <c r="O95" i="54" s="1"/>
  <c r="U95" i="54" s="1"/>
  <c r="I95" i="54"/>
  <c r="J95" i="54"/>
  <c r="K95" i="54"/>
  <c r="L95" i="54"/>
  <c r="C96" i="54"/>
  <c r="A97" i="54"/>
  <c r="B97" i="54"/>
  <c r="C97" i="54"/>
  <c r="D97" i="54"/>
  <c r="E97" i="54"/>
  <c r="F97" i="54"/>
  <c r="G97" i="54"/>
  <c r="O97" i="54" s="1"/>
  <c r="U97" i="54" s="1"/>
  <c r="I97" i="54"/>
  <c r="J97" i="54"/>
  <c r="K97" i="54"/>
  <c r="L97" i="54"/>
  <c r="A98" i="54"/>
  <c r="B98" i="54"/>
  <c r="C98" i="54"/>
  <c r="D98" i="54"/>
  <c r="E98" i="54"/>
  <c r="F98" i="54"/>
  <c r="G98" i="54"/>
  <c r="O98" i="54" s="1"/>
  <c r="U98" i="54" s="1"/>
  <c r="I98" i="54"/>
  <c r="J98" i="54"/>
  <c r="K98" i="54"/>
  <c r="L98" i="54"/>
  <c r="A99" i="54"/>
  <c r="B99" i="54"/>
  <c r="C99" i="54"/>
  <c r="D99" i="54"/>
  <c r="E99" i="54"/>
  <c r="F99" i="54"/>
  <c r="G99" i="54"/>
  <c r="I99" i="54"/>
  <c r="J99" i="54"/>
  <c r="K99" i="54"/>
  <c r="L99" i="54"/>
  <c r="O99" i="54"/>
  <c r="U99" i="54" s="1"/>
  <c r="A100" i="54"/>
  <c r="B100" i="54"/>
  <c r="C100" i="54"/>
  <c r="D100" i="54"/>
  <c r="E100" i="54"/>
  <c r="F100" i="54"/>
  <c r="G100" i="54"/>
  <c r="O100" i="54" s="1"/>
  <c r="U100" i="54" s="1"/>
  <c r="I100" i="54"/>
  <c r="J100" i="54"/>
  <c r="K100" i="54"/>
  <c r="L100" i="54"/>
  <c r="C101" i="54"/>
  <c r="A102" i="54"/>
  <c r="B102" i="54"/>
  <c r="C102" i="54"/>
  <c r="D102" i="54"/>
  <c r="E102" i="54"/>
  <c r="F102" i="54"/>
  <c r="G102" i="54"/>
  <c r="O102" i="54" s="1"/>
  <c r="I102" i="54"/>
  <c r="K102" i="54"/>
  <c r="L102" i="54"/>
  <c r="U102" i="54"/>
  <c r="A103" i="54"/>
  <c r="B103" i="54"/>
  <c r="C103" i="54"/>
  <c r="D103" i="54"/>
  <c r="E103" i="54"/>
  <c r="F103" i="54"/>
  <c r="G103" i="54"/>
  <c r="O103" i="54" s="1"/>
  <c r="I103" i="54"/>
  <c r="J103" i="54"/>
  <c r="K103" i="54"/>
  <c r="L103" i="54"/>
  <c r="C104" i="54"/>
  <c r="A105" i="54"/>
  <c r="B105" i="54"/>
  <c r="C105" i="54"/>
  <c r="D105" i="54"/>
  <c r="E105" i="54"/>
  <c r="F105" i="54"/>
  <c r="G105" i="54"/>
  <c r="I105" i="54"/>
  <c r="K105" i="54"/>
  <c r="L105" i="54"/>
  <c r="O105" i="54"/>
  <c r="U105" i="54" s="1"/>
  <c r="C106" i="54"/>
  <c r="A107" i="54"/>
  <c r="B107" i="54"/>
  <c r="C107" i="54"/>
  <c r="D107" i="54"/>
  <c r="E107" i="54"/>
  <c r="F107" i="54"/>
  <c r="G107" i="54"/>
  <c r="O107" i="54" s="1"/>
  <c r="I107" i="54"/>
  <c r="J107" i="54"/>
  <c r="K107" i="54"/>
  <c r="L107" i="54"/>
  <c r="A108" i="54"/>
  <c r="B108" i="54"/>
  <c r="C108" i="54"/>
  <c r="D108" i="54"/>
  <c r="E108" i="54"/>
  <c r="F108" i="54"/>
  <c r="G108" i="54"/>
  <c r="O108" i="54" s="1"/>
  <c r="I108" i="54"/>
  <c r="J108" i="54"/>
  <c r="K108" i="54"/>
  <c r="L108" i="54"/>
  <c r="A109" i="54"/>
  <c r="B109" i="54"/>
  <c r="C109" i="54"/>
  <c r="D109" i="54"/>
  <c r="E109" i="54"/>
  <c r="F109" i="54"/>
  <c r="G109" i="54"/>
  <c r="O109" i="54" s="1"/>
  <c r="I109" i="54"/>
  <c r="J109" i="54"/>
  <c r="K109" i="54"/>
  <c r="L109" i="54"/>
  <c r="A110" i="54"/>
  <c r="B110" i="54"/>
  <c r="C110" i="54"/>
  <c r="D110" i="54"/>
  <c r="E110" i="54"/>
  <c r="F110" i="54"/>
  <c r="G110" i="54"/>
  <c r="O110" i="54" s="1"/>
  <c r="I110" i="54"/>
  <c r="J110" i="54"/>
  <c r="K110" i="54"/>
  <c r="L110" i="54"/>
  <c r="C111" i="54"/>
  <c r="A112" i="54"/>
  <c r="B112" i="54"/>
  <c r="C112" i="54"/>
  <c r="D112" i="54"/>
  <c r="E112" i="54"/>
  <c r="F112" i="54"/>
  <c r="G112" i="54"/>
  <c r="O112" i="54" s="1"/>
  <c r="I112" i="54"/>
  <c r="J112" i="54"/>
  <c r="K112" i="54"/>
  <c r="L112" i="54"/>
  <c r="U112" i="54"/>
  <c r="A113" i="54"/>
  <c r="B113" i="54"/>
  <c r="C113" i="54"/>
  <c r="D113" i="54"/>
  <c r="E113" i="54"/>
  <c r="F113" i="54"/>
  <c r="G113" i="54"/>
  <c r="O113" i="54" s="1"/>
  <c r="I113" i="54"/>
  <c r="J113" i="54"/>
  <c r="K113" i="54"/>
  <c r="L113" i="54"/>
  <c r="A114" i="54"/>
  <c r="B114" i="54"/>
  <c r="C114" i="54"/>
  <c r="D114" i="54"/>
  <c r="E114" i="54"/>
  <c r="F114" i="54"/>
  <c r="G114" i="54"/>
  <c r="I114" i="54"/>
  <c r="J114" i="54"/>
  <c r="K114" i="54"/>
  <c r="L114" i="54"/>
  <c r="O114" i="54"/>
  <c r="A115" i="54"/>
  <c r="B115" i="54"/>
  <c r="C115" i="54"/>
  <c r="D115" i="54"/>
  <c r="E115" i="54"/>
  <c r="F115" i="54"/>
  <c r="G115" i="54"/>
  <c r="O115" i="54" s="1"/>
  <c r="I115" i="54"/>
  <c r="J115" i="54"/>
  <c r="K115" i="54"/>
  <c r="L115" i="54"/>
  <c r="U115" i="54"/>
  <c r="A116" i="54"/>
  <c r="B116" i="54"/>
  <c r="C116" i="54"/>
  <c r="D116" i="54"/>
  <c r="E116" i="54"/>
  <c r="F116" i="54"/>
  <c r="G116" i="54"/>
  <c r="O116" i="54" s="1"/>
  <c r="I116" i="54"/>
  <c r="J116" i="54"/>
  <c r="K116" i="54"/>
  <c r="L116" i="54"/>
  <c r="U116" i="54"/>
  <c r="C117" i="54"/>
  <c r="A118" i="54"/>
  <c r="B118" i="54"/>
  <c r="C118" i="54"/>
  <c r="D118" i="54"/>
  <c r="E118" i="54"/>
  <c r="F118" i="54"/>
  <c r="G118" i="54"/>
  <c r="O118" i="54" s="1"/>
  <c r="I118" i="54"/>
  <c r="J118" i="54"/>
  <c r="K118" i="54"/>
  <c r="L118" i="54"/>
  <c r="U118" i="54"/>
  <c r="A119" i="54"/>
  <c r="B119" i="54"/>
  <c r="C119" i="54"/>
  <c r="D119" i="54"/>
  <c r="E119" i="54"/>
  <c r="F119" i="54"/>
  <c r="G119" i="54"/>
  <c r="O119" i="54" s="1"/>
  <c r="I119" i="54"/>
  <c r="J119" i="54"/>
  <c r="K119" i="54"/>
  <c r="L119" i="54"/>
  <c r="A120" i="54"/>
  <c r="B120" i="54"/>
  <c r="C120" i="54"/>
  <c r="D120" i="54"/>
  <c r="E120" i="54"/>
  <c r="F120" i="54"/>
  <c r="G120" i="54"/>
  <c r="I120" i="54"/>
  <c r="J120" i="54"/>
  <c r="K120" i="54"/>
  <c r="L120" i="54"/>
  <c r="O120" i="54"/>
  <c r="U120" i="54" s="1"/>
  <c r="A121" i="54"/>
  <c r="B121" i="54"/>
  <c r="C121" i="54"/>
  <c r="D121" i="54"/>
  <c r="E121" i="54"/>
  <c r="F121" i="54"/>
  <c r="G121" i="54"/>
  <c r="O121" i="54" s="1"/>
  <c r="U121" i="54" s="1"/>
  <c r="I121" i="54"/>
  <c r="J121" i="54"/>
  <c r="K121" i="54"/>
  <c r="L121" i="54"/>
  <c r="C122" i="54"/>
  <c r="A123" i="54"/>
  <c r="B123" i="54"/>
  <c r="C123" i="54"/>
  <c r="D123" i="54"/>
  <c r="E123" i="54"/>
  <c r="F123" i="54"/>
  <c r="G123" i="54"/>
  <c r="O123" i="54" s="1"/>
  <c r="I123" i="54"/>
  <c r="J123" i="54"/>
  <c r="K123" i="54"/>
  <c r="L123" i="54"/>
  <c r="A124" i="54"/>
  <c r="B124" i="54"/>
  <c r="C124" i="54"/>
  <c r="D124" i="54"/>
  <c r="E124" i="54"/>
  <c r="F124" i="54"/>
  <c r="G124" i="54"/>
  <c r="O124" i="54" s="1"/>
  <c r="I124" i="54"/>
  <c r="J124" i="54"/>
  <c r="K124" i="54"/>
  <c r="L124" i="54"/>
  <c r="C125" i="54"/>
  <c r="A126" i="54"/>
  <c r="B126" i="54"/>
  <c r="C126" i="54"/>
  <c r="D126" i="54"/>
  <c r="E126" i="54"/>
  <c r="F126" i="54"/>
  <c r="G126" i="54"/>
  <c r="O126" i="54" s="1"/>
  <c r="U126" i="54" s="1"/>
  <c r="I126" i="54"/>
  <c r="J126" i="54"/>
  <c r="K126" i="54"/>
  <c r="L126" i="54"/>
  <c r="A127" i="54"/>
  <c r="B127" i="54"/>
  <c r="C127" i="54"/>
  <c r="D127" i="54"/>
  <c r="E127" i="54"/>
  <c r="F127" i="54"/>
  <c r="G127" i="54"/>
  <c r="O127" i="54" s="1"/>
  <c r="U127" i="54" s="1"/>
  <c r="I127" i="54"/>
  <c r="J127" i="54"/>
  <c r="M127" i="54" s="1"/>
  <c r="K127" i="54"/>
  <c r="L127" i="54"/>
  <c r="C128" i="54"/>
  <c r="A129" i="54"/>
  <c r="B129" i="54"/>
  <c r="C129" i="54"/>
  <c r="D129" i="54"/>
  <c r="E129" i="54"/>
  <c r="F129" i="54"/>
  <c r="G129" i="54"/>
  <c r="O129" i="54" s="1"/>
  <c r="I129" i="54"/>
  <c r="J129" i="54"/>
  <c r="K129" i="54"/>
  <c r="L129" i="54"/>
  <c r="A130" i="54"/>
  <c r="B130" i="54"/>
  <c r="C130" i="54"/>
  <c r="D130" i="54"/>
  <c r="E130" i="54"/>
  <c r="F130" i="54"/>
  <c r="G130" i="54"/>
  <c r="I130" i="54"/>
  <c r="J130" i="54"/>
  <c r="K130" i="54"/>
  <c r="L130" i="54"/>
  <c r="U130" i="54"/>
  <c r="A131" i="54"/>
  <c r="B131" i="54"/>
  <c r="C131" i="54"/>
  <c r="D131" i="54"/>
  <c r="E131" i="54"/>
  <c r="F131" i="54"/>
  <c r="G131" i="54"/>
  <c r="O131" i="54" s="1"/>
  <c r="U131" i="54" s="1"/>
  <c r="I131" i="54"/>
  <c r="J131" i="54"/>
  <c r="K131" i="54"/>
  <c r="L131" i="54"/>
  <c r="A132" i="54"/>
  <c r="B132" i="54"/>
  <c r="C132" i="54"/>
  <c r="D132" i="54"/>
  <c r="E132" i="54"/>
  <c r="F132" i="54"/>
  <c r="G132" i="54"/>
  <c r="I132" i="54"/>
  <c r="J132" i="54"/>
  <c r="K132" i="54"/>
  <c r="L132" i="54"/>
  <c r="U132" i="54"/>
  <c r="C133" i="54"/>
  <c r="A134" i="54"/>
  <c r="B134" i="54"/>
  <c r="C134" i="54"/>
  <c r="D134" i="54"/>
  <c r="E134" i="54"/>
  <c r="F134" i="54"/>
  <c r="G134" i="54"/>
  <c r="O134" i="54" s="1"/>
  <c r="U134" i="54" s="1"/>
  <c r="I134" i="54"/>
  <c r="J134" i="54"/>
  <c r="K134" i="54"/>
  <c r="L134" i="54"/>
  <c r="A135" i="54"/>
  <c r="B135" i="54"/>
  <c r="C135" i="54"/>
  <c r="D135" i="54"/>
  <c r="E135" i="54"/>
  <c r="F135" i="54"/>
  <c r="G135" i="54"/>
  <c r="O135" i="54" s="1"/>
  <c r="U135" i="54" s="1"/>
  <c r="I135" i="54"/>
  <c r="J135" i="54"/>
  <c r="K135" i="54"/>
  <c r="L135" i="54"/>
  <c r="C136" i="54"/>
  <c r="A137" i="54"/>
  <c r="B137" i="54"/>
  <c r="C137" i="54"/>
  <c r="D137" i="54"/>
  <c r="E137" i="54"/>
  <c r="F137" i="54"/>
  <c r="G137" i="54"/>
  <c r="O137" i="54" s="1"/>
  <c r="I137" i="54"/>
  <c r="J137" i="54"/>
  <c r="K137" i="54"/>
  <c r="L137" i="54"/>
  <c r="A138" i="54"/>
  <c r="B138" i="54"/>
  <c r="C138" i="54"/>
  <c r="D138" i="54"/>
  <c r="E138" i="54"/>
  <c r="F138" i="54"/>
  <c r="G138" i="54"/>
  <c r="O138" i="54" s="1"/>
  <c r="I138" i="54"/>
  <c r="J138" i="54"/>
  <c r="K138" i="54"/>
  <c r="L138" i="54"/>
  <c r="A139" i="54"/>
  <c r="B139" i="54"/>
  <c r="C139" i="54"/>
  <c r="D139" i="54"/>
  <c r="E139" i="54"/>
  <c r="F139" i="54"/>
  <c r="G139" i="54"/>
  <c r="O139" i="54" s="1"/>
  <c r="U139" i="54" s="1"/>
  <c r="I139" i="54"/>
  <c r="J139" i="54"/>
  <c r="K139" i="54"/>
  <c r="L139" i="54"/>
  <c r="A140" i="54"/>
  <c r="B140" i="54"/>
  <c r="C140" i="54"/>
  <c r="D140" i="54"/>
  <c r="E140" i="54"/>
  <c r="F140" i="54"/>
  <c r="G140" i="54"/>
  <c r="I140" i="54"/>
  <c r="J140" i="54"/>
  <c r="K140" i="54"/>
  <c r="L140" i="54"/>
  <c r="O140" i="54"/>
  <c r="C141" i="54"/>
  <c r="A142" i="54"/>
  <c r="B142" i="54"/>
  <c r="C142" i="54"/>
  <c r="D142" i="54"/>
  <c r="E142" i="54"/>
  <c r="F142" i="54"/>
  <c r="G142" i="54"/>
  <c r="O142" i="54" s="1"/>
  <c r="I142" i="54"/>
  <c r="J142" i="54"/>
  <c r="K142" i="54"/>
  <c r="L142" i="54"/>
  <c r="A143" i="54"/>
  <c r="B143" i="54"/>
  <c r="C143" i="54"/>
  <c r="D143" i="54"/>
  <c r="E143" i="54"/>
  <c r="F143" i="54"/>
  <c r="G143" i="54"/>
  <c r="O143" i="54" s="1"/>
  <c r="U143" i="54" s="1"/>
  <c r="I143" i="54"/>
  <c r="J143" i="54"/>
  <c r="K143" i="54"/>
  <c r="L143" i="54"/>
  <c r="A144" i="54"/>
  <c r="B144" i="54"/>
  <c r="C144" i="54"/>
  <c r="D144" i="54"/>
  <c r="E144" i="54"/>
  <c r="F144" i="54"/>
  <c r="G144" i="54"/>
  <c r="O144" i="54" s="1"/>
  <c r="U144" i="54" s="1"/>
  <c r="I144" i="54"/>
  <c r="J144" i="54"/>
  <c r="K144" i="54"/>
  <c r="L144" i="54"/>
  <c r="A145" i="54"/>
  <c r="B145" i="54"/>
  <c r="C145" i="54"/>
  <c r="D145" i="54"/>
  <c r="E145" i="54"/>
  <c r="F145" i="54"/>
  <c r="G145" i="54"/>
  <c r="O145" i="54" s="1"/>
  <c r="U145" i="54" s="1"/>
  <c r="I145" i="54"/>
  <c r="J145" i="54"/>
  <c r="K145" i="54"/>
  <c r="L145" i="54"/>
  <c r="A146" i="54"/>
  <c r="B146" i="54"/>
  <c r="C146" i="54"/>
  <c r="D146" i="54"/>
  <c r="E146" i="54"/>
  <c r="F146" i="54"/>
  <c r="G146" i="54"/>
  <c r="O146" i="54" s="1"/>
  <c r="I146" i="54"/>
  <c r="J146" i="54"/>
  <c r="K146" i="54"/>
  <c r="L146" i="54"/>
  <c r="A147" i="54"/>
  <c r="B147" i="54"/>
  <c r="C147" i="54"/>
  <c r="D147" i="54"/>
  <c r="E147" i="54"/>
  <c r="F147" i="54"/>
  <c r="G147" i="54"/>
  <c r="O147" i="54" s="1"/>
  <c r="U147" i="54" s="1"/>
  <c r="I147" i="54"/>
  <c r="J147" i="54"/>
  <c r="K147" i="54"/>
  <c r="L147" i="54"/>
  <c r="C148" i="54"/>
  <c r="A149" i="54"/>
  <c r="B149" i="54"/>
  <c r="C149" i="54"/>
  <c r="D149" i="54"/>
  <c r="E149" i="54"/>
  <c r="F149" i="54"/>
  <c r="G149" i="54"/>
  <c r="O149" i="54" s="1"/>
  <c r="I149" i="54"/>
  <c r="K149" i="54"/>
  <c r="L149" i="54"/>
  <c r="U149" i="54"/>
  <c r="C150" i="54"/>
  <c r="A151" i="54"/>
  <c r="B151" i="54"/>
  <c r="C151" i="54"/>
  <c r="D151" i="54"/>
  <c r="E151" i="54"/>
  <c r="F151" i="54"/>
  <c r="G151" i="54"/>
  <c r="I151" i="54"/>
  <c r="K151" i="54"/>
  <c r="L151" i="54"/>
  <c r="O151" i="54"/>
  <c r="A152" i="54"/>
  <c r="B152" i="54"/>
  <c r="C152" i="54"/>
  <c r="D152" i="54"/>
  <c r="E152" i="54"/>
  <c r="F152" i="54"/>
  <c r="G152" i="54"/>
  <c r="O152" i="54" s="1"/>
  <c r="I152" i="54"/>
  <c r="J152" i="54"/>
  <c r="K152" i="54"/>
  <c r="L152" i="54"/>
  <c r="U152" i="54"/>
  <c r="C153" i="54"/>
  <c r="A154" i="54"/>
  <c r="B154" i="54"/>
  <c r="C154" i="54"/>
  <c r="D154" i="54"/>
  <c r="E154" i="54"/>
  <c r="F154" i="54"/>
  <c r="G154" i="54"/>
  <c r="O154" i="54" s="1"/>
  <c r="U154" i="54" s="1"/>
  <c r="I154" i="54"/>
  <c r="J154" i="54"/>
  <c r="K154" i="54"/>
  <c r="L154" i="54"/>
  <c r="A155" i="54"/>
  <c r="B155" i="54"/>
  <c r="C155" i="54"/>
  <c r="D155" i="54"/>
  <c r="E155" i="54"/>
  <c r="F155" i="54"/>
  <c r="G155" i="54"/>
  <c r="O155" i="54" s="1"/>
  <c r="U155" i="54" s="1"/>
  <c r="I155" i="54"/>
  <c r="J155" i="54"/>
  <c r="K155" i="54"/>
  <c r="L155" i="54"/>
  <c r="C156" i="54"/>
  <c r="F3" i="29"/>
  <c r="D4" i="29"/>
  <c r="F4" i="29"/>
  <c r="A5" i="29"/>
  <c r="A6" i="29" s="1"/>
  <c r="A7" i="29" s="1"/>
  <c r="D5" i="29"/>
  <c r="F5" i="29"/>
  <c r="D6" i="29"/>
  <c r="F6" i="29"/>
  <c r="G6" i="29"/>
  <c r="D7" i="29"/>
  <c r="F7" i="29"/>
  <c r="A8" i="29"/>
  <c r="D8" i="29"/>
  <c r="F8" i="29"/>
  <c r="A9" i="29"/>
  <c r="A10" i="29" s="1"/>
  <c r="D9" i="29"/>
  <c r="F9" i="29"/>
  <c r="G9" i="29"/>
  <c r="H9" i="29"/>
  <c r="D10" i="29"/>
  <c r="F10" i="29"/>
  <c r="G10" i="29"/>
  <c r="H10" i="29" s="1"/>
  <c r="D11" i="29"/>
  <c r="F11" i="29"/>
  <c r="G11" i="29"/>
  <c r="H11" i="29" s="1"/>
  <c r="D12" i="29"/>
  <c r="F12" i="29"/>
  <c r="H12" i="29"/>
  <c r="D13" i="29"/>
  <c r="F13" i="29"/>
  <c r="H13" i="29" s="1"/>
  <c r="D14" i="29"/>
  <c r="F14" i="29"/>
  <c r="H14" i="29"/>
  <c r="D15" i="29"/>
  <c r="F15" i="29"/>
  <c r="H15" i="29" s="1"/>
  <c r="D16" i="29"/>
  <c r="F16" i="29"/>
  <c r="A17" i="29"/>
  <c r="A18" i="29" s="1"/>
  <c r="D17" i="29"/>
  <c r="F17" i="29"/>
  <c r="D18" i="29"/>
  <c r="F18" i="29"/>
  <c r="D19" i="29"/>
  <c r="F19" i="29"/>
  <c r="D20" i="29"/>
  <c r="F20" i="29"/>
  <c r="D21" i="29"/>
  <c r="F21" i="29"/>
  <c r="D22" i="29"/>
  <c r="F22" i="29"/>
  <c r="D23" i="29"/>
  <c r="F23" i="29"/>
  <c r="A24" i="29"/>
  <c r="A25" i="29" s="1"/>
  <c r="D24" i="29"/>
  <c r="F24" i="29"/>
  <c r="D25" i="29"/>
  <c r="F25" i="29"/>
  <c r="A26" i="29"/>
  <c r="A27" i="29" s="1"/>
  <c r="D26" i="29"/>
  <c r="F26" i="29"/>
  <c r="D27" i="29"/>
  <c r="F27" i="29"/>
  <c r="A28" i="29"/>
  <c r="D28" i="29"/>
  <c r="F28" i="29"/>
  <c r="D29" i="29"/>
  <c r="F29" i="29"/>
  <c r="A30" i="29"/>
  <c r="D30" i="29"/>
  <c r="F30" i="29"/>
  <c r="F9" i="25"/>
  <c r="J9" i="25"/>
  <c r="L9" i="25"/>
  <c r="N9" i="25"/>
  <c r="P9" i="25"/>
  <c r="S9" i="25"/>
  <c r="Z9" i="25"/>
  <c r="AD9" i="25"/>
  <c r="AG9" i="25"/>
  <c r="AI9" i="25"/>
  <c r="AK9" i="25"/>
  <c r="AM9" i="25"/>
  <c r="AT9" i="25"/>
  <c r="AV9" i="25"/>
  <c r="AY9" i="25"/>
  <c r="BA9" i="25"/>
  <c r="BC9" i="25"/>
  <c r="BE9" i="25"/>
  <c r="BI9" i="25"/>
  <c r="BK9" i="25"/>
  <c r="F10" i="25"/>
  <c r="J10" i="25"/>
  <c r="L10" i="25"/>
  <c r="N10" i="25"/>
  <c r="P10" i="25"/>
  <c r="S10" i="25"/>
  <c r="Z10" i="25"/>
  <c r="AD10" i="25"/>
  <c r="AG10" i="25"/>
  <c r="AI10" i="25"/>
  <c r="AK10" i="25"/>
  <c r="AM10" i="25"/>
  <c r="AT10" i="25"/>
  <c r="AV10" i="25"/>
  <c r="AY10" i="25"/>
  <c r="BA10" i="25"/>
  <c r="BC10" i="25"/>
  <c r="BE10" i="25"/>
  <c r="BI10" i="25"/>
  <c r="BK10" i="25"/>
  <c r="F11" i="25"/>
  <c r="F41" i="25" s="1"/>
  <c r="J11" i="25"/>
  <c r="L11" i="25"/>
  <c r="N11" i="25"/>
  <c r="P11" i="25"/>
  <c r="S11" i="25"/>
  <c r="Z11" i="25"/>
  <c r="AD11" i="25"/>
  <c r="AG11" i="25"/>
  <c r="AI11" i="25"/>
  <c r="AK11" i="25"/>
  <c r="AM11" i="25"/>
  <c r="AT11" i="25"/>
  <c r="BL11" i="25" s="1"/>
  <c r="BM11" i="25" s="1"/>
  <c r="AV11" i="25"/>
  <c r="AY11" i="25"/>
  <c r="BA11" i="25"/>
  <c r="BC11" i="25"/>
  <c r="BE11" i="25"/>
  <c r="BI11" i="25"/>
  <c r="BK11" i="25"/>
  <c r="F12" i="25"/>
  <c r="J12" i="25"/>
  <c r="L12" i="25"/>
  <c r="N12" i="25"/>
  <c r="P12" i="25"/>
  <c r="S12" i="25"/>
  <c r="Z12" i="25"/>
  <c r="AD12" i="25"/>
  <c r="AG12" i="25"/>
  <c r="AI12" i="25"/>
  <c r="AK12" i="25"/>
  <c r="AM12" i="25"/>
  <c r="AT12" i="25"/>
  <c r="AV12" i="25"/>
  <c r="AY12" i="25"/>
  <c r="BA12" i="25"/>
  <c r="BC12" i="25"/>
  <c r="BE12" i="25"/>
  <c r="BI12" i="25"/>
  <c r="BK12" i="25"/>
  <c r="F13" i="25"/>
  <c r="J13" i="25"/>
  <c r="L13" i="25"/>
  <c r="N13" i="25"/>
  <c r="P13" i="25"/>
  <c r="S13" i="25"/>
  <c r="Z13" i="25"/>
  <c r="AD13" i="25"/>
  <c r="AG13" i="25"/>
  <c r="AI13" i="25"/>
  <c r="AK13" i="25"/>
  <c r="AM13" i="25"/>
  <c r="AT13" i="25"/>
  <c r="AV13" i="25"/>
  <c r="AY13" i="25"/>
  <c r="BA13" i="25"/>
  <c r="BC13" i="25"/>
  <c r="BE13" i="25"/>
  <c r="BI13" i="25"/>
  <c r="BK13" i="25"/>
  <c r="F14" i="25"/>
  <c r="J14" i="25"/>
  <c r="L14" i="25"/>
  <c r="N14" i="25"/>
  <c r="P14" i="25"/>
  <c r="S14" i="25"/>
  <c r="Z14" i="25"/>
  <c r="AD14" i="25"/>
  <c r="AG14" i="25"/>
  <c r="AI14" i="25"/>
  <c r="AK14" i="25"/>
  <c r="AM14" i="25"/>
  <c r="AT14" i="25"/>
  <c r="AV14" i="25"/>
  <c r="AY14" i="25"/>
  <c r="BA14" i="25"/>
  <c r="BC14" i="25"/>
  <c r="BE14" i="25"/>
  <c r="BI14" i="25"/>
  <c r="BK14" i="25"/>
  <c r="BL14" i="25"/>
  <c r="BM14" i="25" s="1"/>
  <c r="F15" i="25"/>
  <c r="J15" i="25"/>
  <c r="L15" i="25"/>
  <c r="N15" i="25"/>
  <c r="P15" i="25"/>
  <c r="S15" i="25"/>
  <c r="Z15" i="25"/>
  <c r="AD15" i="25"/>
  <c r="AG15" i="25"/>
  <c r="AI15" i="25"/>
  <c r="AK15" i="25"/>
  <c r="AM15" i="25"/>
  <c r="AT15" i="25"/>
  <c r="AV15" i="25"/>
  <c r="AY15" i="25"/>
  <c r="BA15" i="25"/>
  <c r="BC15" i="25"/>
  <c r="BE15" i="25"/>
  <c r="BI15" i="25"/>
  <c r="BK15" i="25"/>
  <c r="F16" i="25"/>
  <c r="J16" i="25"/>
  <c r="L16" i="25"/>
  <c r="N16" i="25"/>
  <c r="P16" i="25"/>
  <c r="S16" i="25"/>
  <c r="Z16" i="25"/>
  <c r="AD16" i="25"/>
  <c r="AG16" i="25"/>
  <c r="AI16" i="25"/>
  <c r="AK16" i="25"/>
  <c r="AM16" i="25"/>
  <c r="AT16" i="25"/>
  <c r="AV16" i="25"/>
  <c r="AY16" i="25"/>
  <c r="BA16" i="25"/>
  <c r="BC16" i="25"/>
  <c r="BE16" i="25"/>
  <c r="BI16" i="25"/>
  <c r="BK16" i="25"/>
  <c r="BL16" i="25"/>
  <c r="BM16" i="25" s="1"/>
  <c r="F17" i="25"/>
  <c r="J17" i="25"/>
  <c r="L17" i="25"/>
  <c r="N17" i="25"/>
  <c r="P17" i="25"/>
  <c r="S17" i="25"/>
  <c r="Z17" i="25"/>
  <c r="AD17" i="25"/>
  <c r="AG17" i="25"/>
  <c r="AI17" i="25"/>
  <c r="AK17" i="25"/>
  <c r="AM17" i="25"/>
  <c r="AT17" i="25"/>
  <c r="AV17" i="25"/>
  <c r="AY17" i="25"/>
  <c r="BA17" i="25"/>
  <c r="BC17" i="25"/>
  <c r="BE17" i="25"/>
  <c r="BI17" i="25"/>
  <c r="BK17" i="25"/>
  <c r="BL17" i="25"/>
  <c r="BM17" i="25" s="1"/>
  <c r="F18" i="25"/>
  <c r="J18" i="25"/>
  <c r="L18" i="25"/>
  <c r="N18" i="25"/>
  <c r="P18" i="25"/>
  <c r="S18" i="25"/>
  <c r="Z18" i="25"/>
  <c r="AD18" i="25"/>
  <c r="AG18" i="25"/>
  <c r="AI18" i="25"/>
  <c r="AK18" i="25"/>
  <c r="AM18" i="25"/>
  <c r="AT18" i="25"/>
  <c r="AV18" i="25"/>
  <c r="AY18" i="25"/>
  <c r="BA18" i="25"/>
  <c r="BC18" i="25"/>
  <c r="BE18" i="25"/>
  <c r="BI18" i="25"/>
  <c r="BK18" i="25"/>
  <c r="F19" i="25"/>
  <c r="J19" i="25"/>
  <c r="L19" i="25"/>
  <c r="N19" i="25"/>
  <c r="P19" i="25"/>
  <c r="S19" i="25"/>
  <c r="Z19" i="25"/>
  <c r="AD19" i="25"/>
  <c r="AG19" i="25"/>
  <c r="AI19" i="25"/>
  <c r="AK19" i="25"/>
  <c r="AM19" i="25"/>
  <c r="AT19" i="25"/>
  <c r="AV19" i="25"/>
  <c r="AY19" i="25"/>
  <c r="BA19" i="25"/>
  <c r="BC19" i="25"/>
  <c r="BE19" i="25"/>
  <c r="BI19" i="25"/>
  <c r="BK19" i="25"/>
  <c r="F20" i="25"/>
  <c r="J20" i="25"/>
  <c r="L20" i="25"/>
  <c r="N20" i="25"/>
  <c r="P20" i="25"/>
  <c r="S20" i="25"/>
  <c r="Z20" i="25"/>
  <c r="AD20" i="25"/>
  <c r="AD41" i="25" s="1"/>
  <c r="AG20" i="25"/>
  <c r="AI20" i="25"/>
  <c r="AK20" i="25"/>
  <c r="AM20" i="25"/>
  <c r="AM41" i="25" s="1"/>
  <c r="AT20" i="25"/>
  <c r="AV20" i="25"/>
  <c r="AY20" i="25"/>
  <c r="BA20" i="25"/>
  <c r="BC20" i="25"/>
  <c r="BE20" i="25"/>
  <c r="BI20" i="25"/>
  <c r="BK20" i="25"/>
  <c r="F21" i="25"/>
  <c r="J21" i="25"/>
  <c r="L21" i="25"/>
  <c r="N21" i="25"/>
  <c r="P21" i="25"/>
  <c r="S21" i="25"/>
  <c r="Z21" i="25"/>
  <c r="AD21" i="25"/>
  <c r="AG21" i="25"/>
  <c r="AI21" i="25"/>
  <c r="AK21" i="25"/>
  <c r="AM21" i="25"/>
  <c r="AT21" i="25"/>
  <c r="AV21" i="25"/>
  <c r="AY21" i="25"/>
  <c r="BA21" i="25"/>
  <c r="BC21" i="25"/>
  <c r="BE21" i="25"/>
  <c r="BI21" i="25"/>
  <c r="BK21" i="25"/>
  <c r="F22" i="25"/>
  <c r="J22" i="25"/>
  <c r="L22" i="25"/>
  <c r="N22" i="25"/>
  <c r="P22" i="25"/>
  <c r="S22" i="25"/>
  <c r="Z22" i="25"/>
  <c r="AD22" i="25"/>
  <c r="AG22" i="25"/>
  <c r="AI22" i="25"/>
  <c r="AK22" i="25"/>
  <c r="AM22" i="25"/>
  <c r="AT22" i="25"/>
  <c r="AV22" i="25"/>
  <c r="AY22" i="25"/>
  <c r="BA22" i="25"/>
  <c r="BC22" i="25"/>
  <c r="BE22" i="25"/>
  <c r="BI22" i="25"/>
  <c r="BK22" i="25"/>
  <c r="F23" i="25"/>
  <c r="J23" i="25"/>
  <c r="L23" i="25"/>
  <c r="N23" i="25"/>
  <c r="P23" i="25"/>
  <c r="S23" i="25"/>
  <c r="Z23" i="25"/>
  <c r="Z41" i="25" s="1"/>
  <c r="AD23" i="25"/>
  <c r="AG23" i="25"/>
  <c r="AI23" i="25"/>
  <c r="AK23" i="25"/>
  <c r="AM23" i="25"/>
  <c r="AT23" i="25"/>
  <c r="AV23" i="25"/>
  <c r="AY23" i="25"/>
  <c r="BA23" i="25"/>
  <c r="BC23" i="25"/>
  <c r="BE23" i="25"/>
  <c r="BI23" i="25"/>
  <c r="BK23" i="25"/>
  <c r="F24" i="25"/>
  <c r="J24" i="25"/>
  <c r="L24" i="25"/>
  <c r="N24" i="25"/>
  <c r="P24" i="25"/>
  <c r="S24" i="25"/>
  <c r="Z24" i="25"/>
  <c r="AD24" i="25"/>
  <c r="AG24" i="25"/>
  <c r="AI24" i="25"/>
  <c r="AK24" i="25"/>
  <c r="AM24" i="25"/>
  <c r="AT24" i="25"/>
  <c r="AV24" i="25"/>
  <c r="AY24" i="25"/>
  <c r="BA24" i="25"/>
  <c r="BC24" i="25"/>
  <c r="BE24" i="25"/>
  <c r="BI24" i="25"/>
  <c r="BK24" i="25"/>
  <c r="BL24" i="25"/>
  <c r="BM24" i="25" s="1"/>
  <c r="F25" i="25"/>
  <c r="J25" i="25"/>
  <c r="L25" i="25"/>
  <c r="N25" i="25"/>
  <c r="P25" i="25"/>
  <c r="S25" i="25"/>
  <c r="Z25" i="25"/>
  <c r="AD25" i="25"/>
  <c r="AG25" i="25"/>
  <c r="AI25" i="25"/>
  <c r="AK25" i="25"/>
  <c r="AM25" i="25"/>
  <c r="AT25" i="25"/>
  <c r="BL25" i="25" s="1"/>
  <c r="BM25" i="25" s="1"/>
  <c r="AV25" i="25"/>
  <c r="AY25" i="25"/>
  <c r="BA25" i="25"/>
  <c r="BC25" i="25"/>
  <c r="BE25" i="25"/>
  <c r="BI25" i="25"/>
  <c r="BK25" i="25"/>
  <c r="F26" i="25"/>
  <c r="J26" i="25"/>
  <c r="L26" i="25"/>
  <c r="N26" i="25"/>
  <c r="P26" i="25"/>
  <c r="S26" i="25"/>
  <c r="Z26" i="25"/>
  <c r="AD26" i="25"/>
  <c r="AG26" i="25"/>
  <c r="AI26" i="25"/>
  <c r="AK26" i="25"/>
  <c r="AM26" i="25"/>
  <c r="AT26" i="25"/>
  <c r="AV26" i="25"/>
  <c r="AY26" i="25"/>
  <c r="BA26" i="25"/>
  <c r="BC26" i="25"/>
  <c r="BE26" i="25"/>
  <c r="BI26" i="25"/>
  <c r="BK26" i="25"/>
  <c r="F27" i="25"/>
  <c r="J27" i="25"/>
  <c r="L27" i="25"/>
  <c r="N27" i="25"/>
  <c r="P27" i="25"/>
  <c r="S27" i="25"/>
  <c r="Z27" i="25"/>
  <c r="AD27" i="25"/>
  <c r="AG27" i="25"/>
  <c r="AI27" i="25"/>
  <c r="AK27" i="25"/>
  <c r="AM27" i="25"/>
  <c r="AT27" i="25"/>
  <c r="BL27" i="25" s="1"/>
  <c r="BM27" i="25" s="1"/>
  <c r="AV27" i="25"/>
  <c r="AY27" i="25"/>
  <c r="BA27" i="25"/>
  <c r="BC27" i="25"/>
  <c r="BE27" i="25"/>
  <c r="BI27" i="25"/>
  <c r="BK27" i="25"/>
  <c r="F28" i="25"/>
  <c r="J28" i="25"/>
  <c r="L28" i="25"/>
  <c r="N28" i="25"/>
  <c r="P28" i="25"/>
  <c r="S28" i="25"/>
  <c r="Z28" i="25"/>
  <c r="AD28" i="25"/>
  <c r="AG28" i="25"/>
  <c r="AI28" i="25"/>
  <c r="AK28" i="25"/>
  <c r="AM28" i="25"/>
  <c r="AT28" i="25"/>
  <c r="AV28" i="25"/>
  <c r="AY28" i="25"/>
  <c r="BA28" i="25"/>
  <c r="BC28" i="25"/>
  <c r="BE28" i="25"/>
  <c r="BI28" i="25"/>
  <c r="BK28" i="25"/>
  <c r="F29" i="25"/>
  <c r="J29" i="25"/>
  <c r="L29" i="25"/>
  <c r="N29" i="25"/>
  <c r="P29" i="25"/>
  <c r="S29" i="25"/>
  <c r="Z29" i="25"/>
  <c r="AD29" i="25"/>
  <c r="AG29" i="25"/>
  <c r="AI29" i="25"/>
  <c r="AK29" i="25"/>
  <c r="AM29" i="25"/>
  <c r="AT29" i="25"/>
  <c r="AV29" i="25"/>
  <c r="AY29" i="25"/>
  <c r="BA29" i="25"/>
  <c r="BC29" i="25"/>
  <c r="BE29" i="25"/>
  <c r="BI29" i="25"/>
  <c r="BK29" i="25"/>
  <c r="F30" i="25"/>
  <c r="J30" i="25"/>
  <c r="L30" i="25"/>
  <c r="N30" i="25"/>
  <c r="P30" i="25"/>
  <c r="S30" i="25"/>
  <c r="Z30" i="25"/>
  <c r="AD30" i="25"/>
  <c r="AG30" i="25"/>
  <c r="AI30" i="25"/>
  <c r="AK30" i="25"/>
  <c r="AM30" i="25"/>
  <c r="AT30" i="25"/>
  <c r="AV30" i="25"/>
  <c r="AY30" i="25"/>
  <c r="BA30" i="25"/>
  <c r="BC30" i="25"/>
  <c r="BE30" i="25"/>
  <c r="BI30" i="25"/>
  <c r="BK30" i="25"/>
  <c r="BL30" i="25"/>
  <c r="BM30" i="25" s="1"/>
  <c r="F31" i="25"/>
  <c r="J31" i="25"/>
  <c r="L31" i="25"/>
  <c r="N31" i="25"/>
  <c r="P31" i="25"/>
  <c r="S31" i="25"/>
  <c r="Z31" i="25"/>
  <c r="AD31" i="25"/>
  <c r="AG31" i="25"/>
  <c r="AI31" i="25"/>
  <c r="AK31" i="25"/>
  <c r="AM31" i="25"/>
  <c r="AT31" i="25"/>
  <c r="AV31" i="25"/>
  <c r="AY31" i="25"/>
  <c r="BA31" i="25"/>
  <c r="BC31" i="25"/>
  <c r="BE31" i="25"/>
  <c r="BI31" i="25"/>
  <c r="BK31" i="25"/>
  <c r="F32" i="25"/>
  <c r="J32" i="25"/>
  <c r="L32" i="25"/>
  <c r="N32" i="25"/>
  <c r="P32" i="25"/>
  <c r="S32" i="25"/>
  <c r="Z32" i="25"/>
  <c r="AD32" i="25"/>
  <c r="AG32" i="25"/>
  <c r="AI32" i="25"/>
  <c r="AK32" i="25"/>
  <c r="AM32" i="25"/>
  <c r="AT32" i="25"/>
  <c r="AV32" i="25"/>
  <c r="AY32" i="25"/>
  <c r="BA32" i="25"/>
  <c r="BC32" i="25"/>
  <c r="BE32" i="25"/>
  <c r="BI32" i="25"/>
  <c r="BK32" i="25"/>
  <c r="BL32" i="25"/>
  <c r="BM32" i="25" s="1"/>
  <c r="F33" i="25"/>
  <c r="J33" i="25"/>
  <c r="L33" i="25"/>
  <c r="N33" i="25"/>
  <c r="P33" i="25"/>
  <c r="S33" i="25"/>
  <c r="Z33" i="25"/>
  <c r="AD33" i="25"/>
  <c r="AG33" i="25"/>
  <c r="AI33" i="25"/>
  <c r="AK33" i="25"/>
  <c r="AM33" i="25"/>
  <c r="AT33" i="25"/>
  <c r="AV33" i="25"/>
  <c r="AY33" i="25"/>
  <c r="BA33" i="25"/>
  <c r="BC33" i="25"/>
  <c r="BE33" i="25"/>
  <c r="BI33" i="25"/>
  <c r="BK33" i="25"/>
  <c r="BL33" i="25"/>
  <c r="BM33" i="25" s="1"/>
  <c r="F34" i="25"/>
  <c r="J34" i="25"/>
  <c r="L34" i="25"/>
  <c r="N34" i="25"/>
  <c r="P34" i="25"/>
  <c r="S34" i="25"/>
  <c r="Z34" i="25"/>
  <c r="AD34" i="25"/>
  <c r="AG34" i="25"/>
  <c r="AI34" i="25"/>
  <c r="AK34" i="25"/>
  <c r="AM34" i="25"/>
  <c r="AT34" i="25"/>
  <c r="AV34" i="25"/>
  <c r="AY34" i="25"/>
  <c r="BA34" i="25"/>
  <c r="BC34" i="25"/>
  <c r="BE34" i="25"/>
  <c r="BI34" i="25"/>
  <c r="BK34" i="25"/>
  <c r="F35" i="25"/>
  <c r="J35" i="25"/>
  <c r="L35" i="25"/>
  <c r="N35" i="25"/>
  <c r="P35" i="25"/>
  <c r="S35" i="25"/>
  <c r="Z35" i="25"/>
  <c r="AD35" i="25"/>
  <c r="AG35" i="25"/>
  <c r="AI35" i="25"/>
  <c r="AK35" i="25"/>
  <c r="AM35" i="25"/>
  <c r="AT35" i="25"/>
  <c r="AV35" i="25"/>
  <c r="AY35" i="25"/>
  <c r="BA35" i="25"/>
  <c r="BC35" i="25"/>
  <c r="BE35" i="25"/>
  <c r="BI35" i="25"/>
  <c r="BK35" i="25"/>
  <c r="F36" i="25"/>
  <c r="J36" i="25"/>
  <c r="L36" i="25"/>
  <c r="N36" i="25"/>
  <c r="P36" i="25"/>
  <c r="S36" i="25"/>
  <c r="Z36" i="25"/>
  <c r="AD36" i="25"/>
  <c r="AG36" i="25"/>
  <c r="AI36" i="25"/>
  <c r="AK36" i="25"/>
  <c r="AM36" i="25"/>
  <c r="AT36" i="25"/>
  <c r="AV36" i="25"/>
  <c r="AY36" i="25"/>
  <c r="BA36" i="25"/>
  <c r="BC36" i="25"/>
  <c r="BE36" i="25"/>
  <c r="BI36" i="25"/>
  <c r="BK36" i="25"/>
  <c r="F37" i="25"/>
  <c r="J37" i="25"/>
  <c r="L37" i="25"/>
  <c r="N37" i="25"/>
  <c r="P37" i="25"/>
  <c r="S37" i="25"/>
  <c r="Z37" i="25"/>
  <c r="AD37" i="25"/>
  <c r="AG37" i="25"/>
  <c r="AI37" i="25"/>
  <c r="AK37" i="25"/>
  <c r="AM37" i="25"/>
  <c r="AT37" i="25"/>
  <c r="AV37" i="25"/>
  <c r="AY37" i="25"/>
  <c r="BA37" i="25"/>
  <c r="BC37" i="25"/>
  <c r="BE37" i="25"/>
  <c r="BI37" i="25"/>
  <c r="BK37" i="25"/>
  <c r="F38" i="25"/>
  <c r="J38" i="25"/>
  <c r="L38" i="25"/>
  <c r="N38" i="25"/>
  <c r="P38" i="25"/>
  <c r="S38" i="25"/>
  <c r="Z38" i="25"/>
  <c r="AD38" i="25"/>
  <c r="AG38" i="25"/>
  <c r="AI38" i="25"/>
  <c r="AK38" i="25"/>
  <c r="AM38" i="25"/>
  <c r="AT38" i="25"/>
  <c r="AV38" i="25"/>
  <c r="AY38" i="25"/>
  <c r="BA38" i="25"/>
  <c r="BC38" i="25"/>
  <c r="BE38" i="25"/>
  <c r="BI38" i="25"/>
  <c r="BK38" i="25"/>
  <c r="F39" i="25"/>
  <c r="J39" i="25"/>
  <c r="L39" i="25"/>
  <c r="N39" i="25"/>
  <c r="P39" i="25"/>
  <c r="S39" i="25"/>
  <c r="Z39" i="25"/>
  <c r="AD39" i="25"/>
  <c r="AG39" i="25"/>
  <c r="AI39" i="25"/>
  <c r="AK39" i="25"/>
  <c r="AM39" i="25"/>
  <c r="AT39" i="25"/>
  <c r="AV39" i="25"/>
  <c r="AY39" i="25"/>
  <c r="BA39" i="25"/>
  <c r="BC39" i="25"/>
  <c r="BE39" i="25"/>
  <c r="BI39" i="25"/>
  <c r="BK39" i="25"/>
  <c r="F40" i="25"/>
  <c r="J40" i="25"/>
  <c r="L40" i="25"/>
  <c r="N40" i="25"/>
  <c r="P40" i="25"/>
  <c r="S40" i="25"/>
  <c r="Z40" i="25"/>
  <c r="AD40" i="25"/>
  <c r="AG40" i="25"/>
  <c r="AI40" i="25"/>
  <c r="AK40" i="25"/>
  <c r="AM40" i="25"/>
  <c r="AT40" i="25"/>
  <c r="AV40" i="25"/>
  <c r="AY40" i="25"/>
  <c r="BA40" i="25"/>
  <c r="BC40" i="25"/>
  <c r="BE40" i="25"/>
  <c r="BI40" i="25"/>
  <c r="BK40" i="25"/>
  <c r="BL40" i="25"/>
  <c r="BM40" i="25" s="1"/>
  <c r="B41" i="25"/>
  <c r="C41" i="25"/>
  <c r="D41" i="25"/>
  <c r="E41" i="25"/>
  <c r="G41" i="25"/>
  <c r="H41" i="25"/>
  <c r="I41" i="25"/>
  <c r="J41" i="25"/>
  <c r="K41" i="25"/>
  <c r="M41" i="25"/>
  <c r="O41" i="25"/>
  <c r="Q41" i="25"/>
  <c r="R41" i="25"/>
  <c r="T41" i="25"/>
  <c r="U41" i="25"/>
  <c r="V41" i="25"/>
  <c r="W41" i="25"/>
  <c r="X41" i="25"/>
  <c r="Y41" i="25"/>
  <c r="AA41" i="25"/>
  <c r="AB41" i="25"/>
  <c r="AC41" i="25"/>
  <c r="AE41" i="25"/>
  <c r="AF41" i="25"/>
  <c r="AH41" i="25"/>
  <c r="AI41" i="25"/>
  <c r="AJ41" i="25"/>
  <c r="AL41" i="25"/>
  <c r="AN41" i="25"/>
  <c r="AO41" i="25"/>
  <c r="AP41" i="25"/>
  <c r="AQ41" i="25"/>
  <c r="AR41" i="25"/>
  <c r="AS41" i="25"/>
  <c r="AU41" i="25"/>
  <c r="AV41" i="25"/>
  <c r="AW41" i="25"/>
  <c r="AX41" i="25"/>
  <c r="AZ41" i="25"/>
  <c r="BB41" i="25"/>
  <c r="BD41" i="25"/>
  <c r="BF41" i="25"/>
  <c r="BG41" i="25"/>
  <c r="BH41" i="25"/>
  <c r="BJ41" i="25"/>
  <c r="H4" i="14"/>
  <c r="I4" i="14"/>
  <c r="H5" i="14"/>
  <c r="I5" i="14"/>
  <c r="H6" i="14"/>
  <c r="I6" i="14"/>
  <c r="H7" i="14"/>
  <c r="I7" i="14"/>
  <c r="H8" i="14"/>
  <c r="I8" i="14"/>
  <c r="H9" i="14"/>
  <c r="I9" i="14"/>
  <c r="H10" i="14"/>
  <c r="I10" i="14"/>
  <c r="H11" i="14"/>
  <c r="I11" i="14"/>
  <c r="H12" i="14"/>
  <c r="I12" i="14"/>
  <c r="H13" i="14"/>
  <c r="I13" i="14"/>
  <c r="H14" i="14"/>
  <c r="I14" i="14"/>
  <c r="H15" i="14"/>
  <c r="I15" i="14"/>
  <c r="H16" i="14"/>
  <c r="I16" i="14"/>
  <c r="H17" i="14"/>
  <c r="I17" i="14"/>
  <c r="H18" i="14"/>
  <c r="I18" i="14"/>
  <c r="H19" i="14"/>
  <c r="I19" i="14"/>
  <c r="H20" i="14"/>
  <c r="I20" i="14"/>
  <c r="H21" i="14"/>
  <c r="I21" i="14"/>
  <c r="H22" i="14"/>
  <c r="I22" i="14"/>
  <c r="H23" i="14"/>
  <c r="I23" i="14"/>
  <c r="H24" i="14"/>
  <c r="I24" i="14"/>
  <c r="H25" i="14"/>
  <c r="I25" i="14"/>
  <c r="H26" i="14"/>
  <c r="I26" i="14"/>
  <c r="H27" i="14"/>
  <c r="I27" i="14"/>
  <c r="H28" i="14"/>
  <c r="I28" i="14"/>
  <c r="H29" i="14"/>
  <c r="I29" i="14"/>
  <c r="H30" i="14"/>
  <c r="I30" i="14"/>
  <c r="O6" i="23"/>
  <c r="Y6" i="23"/>
  <c r="AI6" i="23"/>
  <c r="AS6" i="23"/>
  <c r="BC6" i="23"/>
  <c r="J11" i="23"/>
  <c r="K11" i="23" s="1"/>
  <c r="AD11" i="23"/>
  <c r="AE11" i="23" s="1"/>
  <c r="B9" i="30"/>
  <c r="C9" i="30"/>
  <c r="E9" i="30" s="1"/>
  <c r="E36" i="30" s="1"/>
  <c r="D9" i="30"/>
  <c r="B10" i="30"/>
  <c r="C10" i="30"/>
  <c r="E10" i="30" s="1"/>
  <c r="D10" i="30"/>
  <c r="B11" i="30"/>
  <c r="C11" i="30"/>
  <c r="D11" i="30"/>
  <c r="B12" i="30"/>
  <c r="C12" i="30"/>
  <c r="D12" i="30"/>
  <c r="B13" i="30"/>
  <c r="C13" i="30"/>
  <c r="E13" i="30" s="1"/>
  <c r="D13" i="30"/>
  <c r="B14" i="30"/>
  <c r="C14" i="30"/>
  <c r="E14" i="30" s="1"/>
  <c r="D14" i="30"/>
  <c r="B15" i="30"/>
  <c r="C15" i="30"/>
  <c r="D15" i="30"/>
  <c r="B16" i="30"/>
  <c r="C16" i="30"/>
  <c r="D16" i="30"/>
  <c r="B17" i="30"/>
  <c r="C17" i="30"/>
  <c r="E17" i="30" s="1"/>
  <c r="D17" i="30"/>
  <c r="B18" i="30"/>
  <c r="C18" i="30"/>
  <c r="E18" i="30" s="1"/>
  <c r="D18" i="30"/>
  <c r="B19" i="30"/>
  <c r="C19" i="30"/>
  <c r="D19" i="30"/>
  <c r="B20" i="30"/>
  <c r="C20" i="30"/>
  <c r="D20" i="30"/>
  <c r="B21" i="30"/>
  <c r="C21" i="30"/>
  <c r="E21" i="30" s="1"/>
  <c r="D21" i="30"/>
  <c r="B22" i="30"/>
  <c r="C22" i="30"/>
  <c r="E22" i="30" s="1"/>
  <c r="D22" i="30"/>
  <c r="B23" i="30"/>
  <c r="C23" i="30"/>
  <c r="D23" i="30"/>
  <c r="B24" i="30"/>
  <c r="C24" i="30"/>
  <c r="D24" i="30"/>
  <c r="B25" i="30"/>
  <c r="C25" i="30"/>
  <c r="E25" i="30" s="1"/>
  <c r="D25" i="30"/>
  <c r="B26" i="30"/>
  <c r="C26" i="30"/>
  <c r="E26" i="30" s="1"/>
  <c r="D26" i="30"/>
  <c r="B27" i="30"/>
  <c r="C27" i="30"/>
  <c r="D27" i="30"/>
  <c r="B28" i="30"/>
  <c r="C28" i="30"/>
  <c r="D28" i="30"/>
  <c r="B29" i="30"/>
  <c r="C29" i="30"/>
  <c r="E29" i="30" s="1"/>
  <c r="D29" i="30"/>
  <c r="B30" i="30"/>
  <c r="C30" i="30"/>
  <c r="E30" i="30" s="1"/>
  <c r="D30" i="30"/>
  <c r="B31" i="30"/>
  <c r="C31" i="30"/>
  <c r="D31" i="30"/>
  <c r="B32" i="30"/>
  <c r="C32" i="30"/>
  <c r="D32" i="30"/>
  <c r="B33" i="30"/>
  <c r="C33" i="30"/>
  <c r="E33" i="30" s="1"/>
  <c r="D33" i="30"/>
  <c r="B34" i="30"/>
  <c r="C34" i="30"/>
  <c r="E34" i="30" s="1"/>
  <c r="D34" i="30"/>
  <c r="B35" i="30"/>
  <c r="C35" i="30"/>
  <c r="D35" i="30"/>
  <c r="C36" i="30"/>
  <c r="D36" i="30"/>
  <c r="E2" i="77"/>
  <c r="I2" i="77"/>
  <c r="J2" i="77"/>
  <c r="E3" i="77"/>
  <c r="I3" i="77"/>
  <c r="J3" i="77"/>
  <c r="E4" i="77"/>
  <c r="I4" i="77"/>
  <c r="M4" i="77" s="1"/>
  <c r="J4" i="77"/>
  <c r="E5" i="77"/>
  <c r="I5" i="77"/>
  <c r="M5" i="77" s="1"/>
  <c r="J5" i="77"/>
  <c r="E6" i="77"/>
  <c r="I6" i="77"/>
  <c r="N6" i="77" s="1"/>
  <c r="J6" i="77"/>
  <c r="E7" i="77"/>
  <c r="I7" i="77"/>
  <c r="N7" i="77" s="1"/>
  <c r="J7" i="77"/>
  <c r="T50" i="20" s="1"/>
  <c r="E8" i="77"/>
  <c r="I8" i="77"/>
  <c r="N8" i="77" s="1"/>
  <c r="J8" i="77"/>
  <c r="E9" i="77"/>
  <c r="I9" i="77"/>
  <c r="M9" i="77" s="1"/>
  <c r="W64" i="20" s="1"/>
  <c r="J9" i="77"/>
  <c r="T64" i="20" s="1"/>
  <c r="E10" i="77"/>
  <c r="I10" i="77"/>
  <c r="J10" i="77"/>
  <c r="E11" i="77"/>
  <c r="I11" i="77"/>
  <c r="J11" i="77"/>
  <c r="E12" i="77"/>
  <c r="I12" i="77"/>
  <c r="J12" i="77"/>
  <c r="N12" i="77"/>
  <c r="E13" i="77"/>
  <c r="I13" i="77"/>
  <c r="N13" i="77" s="1"/>
  <c r="J13" i="77"/>
  <c r="M13" i="77"/>
  <c r="E14" i="77"/>
  <c r="I14" i="77"/>
  <c r="N14" i="77" s="1"/>
  <c r="J14" i="77"/>
  <c r="E15" i="77"/>
  <c r="I15" i="77"/>
  <c r="M15" i="77" s="1"/>
  <c r="J15" i="77"/>
  <c r="T79" i="20" s="1"/>
  <c r="E16" i="77"/>
  <c r="I16" i="77"/>
  <c r="N16" i="77" s="1"/>
  <c r="J16" i="77"/>
  <c r="E17" i="77"/>
  <c r="I17" i="77"/>
  <c r="M17" i="77" s="1"/>
  <c r="J17" i="77"/>
  <c r="E18" i="77"/>
  <c r="I18" i="77"/>
  <c r="J18" i="77"/>
  <c r="E19" i="77"/>
  <c r="I19" i="77"/>
  <c r="S87" i="20" s="1"/>
  <c r="J19" i="77"/>
  <c r="E20" i="77"/>
  <c r="I20" i="77"/>
  <c r="M20" i="77" s="1"/>
  <c r="J20" i="77"/>
  <c r="N20" i="77"/>
  <c r="E21" i="77"/>
  <c r="I21" i="77"/>
  <c r="N21" i="77" s="1"/>
  <c r="J21" i="77"/>
  <c r="M21" i="77"/>
  <c r="E22" i="77"/>
  <c r="I22" i="77"/>
  <c r="N22" i="77" s="1"/>
  <c r="J22" i="77"/>
  <c r="M22" i="77" s="1"/>
  <c r="E23" i="77"/>
  <c r="I23" i="77"/>
  <c r="J23" i="77"/>
  <c r="N23" i="77"/>
  <c r="X97" i="20" s="1"/>
  <c r="E24" i="77"/>
  <c r="I24" i="77"/>
  <c r="J24" i="77" s="1"/>
  <c r="M24" i="77"/>
  <c r="N24" i="77"/>
  <c r="E25" i="77"/>
  <c r="I25" i="77"/>
  <c r="J25" i="77"/>
  <c r="M25" i="77" s="1"/>
  <c r="W101" i="20" s="1"/>
  <c r="N25" i="77"/>
  <c r="E26" i="77"/>
  <c r="I26" i="77"/>
  <c r="J26" i="77"/>
  <c r="E27" i="77"/>
  <c r="I27" i="77"/>
  <c r="J27" i="77"/>
  <c r="E28" i="77"/>
  <c r="I28" i="77"/>
  <c r="S108" i="20" s="1"/>
  <c r="E29" i="77"/>
  <c r="I29" i="77"/>
  <c r="N29" i="77" s="1"/>
  <c r="X111" i="20" s="1"/>
  <c r="J29" i="77"/>
  <c r="M29" i="77"/>
  <c r="W111" i="20" s="1"/>
  <c r="E30" i="77"/>
  <c r="I30" i="77"/>
  <c r="J30" i="77"/>
  <c r="E31" i="77"/>
  <c r="I31" i="77"/>
  <c r="E32" i="77"/>
  <c r="I32" i="77"/>
  <c r="J32" i="77"/>
  <c r="E33" i="77"/>
  <c r="I33" i="77"/>
  <c r="M33" i="77" s="1"/>
  <c r="J33" i="77"/>
  <c r="E34" i="77"/>
  <c r="I34" i="77"/>
  <c r="N34" i="77" s="1"/>
  <c r="J34" i="77"/>
  <c r="E35" i="77"/>
  <c r="I35" i="77"/>
  <c r="N35" i="77" s="1"/>
  <c r="J35" i="77"/>
  <c r="E36" i="77"/>
  <c r="I36" i="77"/>
  <c r="N36" i="77" s="1"/>
  <c r="J36" i="77"/>
  <c r="E37" i="77"/>
  <c r="I37" i="77"/>
  <c r="J37" i="77" s="1"/>
  <c r="M37" i="77" s="1"/>
  <c r="E38" i="77"/>
  <c r="I38" i="77"/>
  <c r="J38" i="77"/>
  <c r="E39" i="77"/>
  <c r="I39" i="77"/>
  <c r="J39" i="77"/>
  <c r="E40" i="77"/>
  <c r="I40" i="77"/>
  <c r="E41" i="77"/>
  <c r="S145" i="20" s="1"/>
  <c r="I41" i="77"/>
  <c r="M41" i="77" s="1"/>
  <c r="J41" i="77"/>
  <c r="E42" i="77"/>
  <c r="I42" i="77"/>
  <c r="N42" i="77" s="1"/>
  <c r="J42" i="77"/>
  <c r="M42" i="77"/>
  <c r="E43" i="77"/>
  <c r="I43" i="77"/>
  <c r="M43" i="77" s="1"/>
  <c r="J43" i="77"/>
  <c r="N43" i="77"/>
  <c r="E44" i="77"/>
  <c r="I44" i="77"/>
  <c r="J44" i="77"/>
  <c r="M44" i="77"/>
  <c r="N44" i="77"/>
  <c r="X150" i="20" s="1"/>
  <c r="E45" i="77"/>
  <c r="I45" i="77"/>
  <c r="N45" i="77" s="1"/>
  <c r="J45" i="77"/>
  <c r="M45" i="77" s="1"/>
  <c r="AB2" i="19"/>
  <c r="AG2" i="19"/>
  <c r="BG4" i="11" s="1"/>
  <c r="AP2" i="19"/>
  <c r="Z3" i="19"/>
  <c r="AB3" i="19"/>
  <c r="AG3" i="19"/>
  <c r="AI3" i="19"/>
  <c r="AP3" i="19"/>
  <c r="AS3" i="19"/>
  <c r="AU3" i="19" s="1"/>
  <c r="Z4" i="19"/>
  <c r="AB4" i="19"/>
  <c r="AI4" i="19"/>
  <c r="AS4" i="19" s="1"/>
  <c r="AU4" i="19" s="1"/>
  <c r="AP4" i="19"/>
  <c r="Z5" i="19"/>
  <c r="AG5" i="19"/>
  <c r="AP5" i="19"/>
  <c r="Z6" i="19"/>
  <c r="AB6" i="19" s="1"/>
  <c r="AG6" i="19"/>
  <c r="AI6" i="19"/>
  <c r="AP6" i="19"/>
  <c r="Z7" i="19"/>
  <c r="AB7" i="19"/>
  <c r="AG7" i="19"/>
  <c r="AP7" i="19"/>
  <c r="AB8" i="19"/>
  <c r="AI8" i="19"/>
  <c r="AN8" i="19"/>
  <c r="BK34" i="11" s="1"/>
  <c r="AP8" i="19"/>
  <c r="AS8" i="19" s="1"/>
  <c r="AU8" i="19" s="1"/>
  <c r="Z9" i="19"/>
  <c r="AB9" i="19"/>
  <c r="AG9" i="19"/>
  <c r="AI9" i="19"/>
  <c r="AS9" i="19" s="1"/>
  <c r="AU9" i="19" s="1"/>
  <c r="AP9" i="19"/>
  <c r="Z10" i="19"/>
  <c r="BC40" i="11" s="1"/>
  <c r="AB10" i="19"/>
  <c r="AS10" i="19" s="1"/>
  <c r="AU10" i="19" s="1"/>
  <c r="AI10" i="19"/>
  <c r="AP10" i="19"/>
  <c r="Z11" i="19"/>
  <c r="AB11" i="19" s="1"/>
  <c r="AI11" i="19"/>
  <c r="AP11" i="19"/>
  <c r="AS11" i="19"/>
  <c r="AU11" i="19" s="1"/>
  <c r="Z12" i="19"/>
  <c r="AB12" i="19"/>
  <c r="AI12" i="19"/>
  <c r="AS12" i="19" s="1"/>
  <c r="AU12" i="19" s="1"/>
  <c r="AP12" i="19"/>
  <c r="Z13" i="19"/>
  <c r="AB13" i="19" s="1"/>
  <c r="AG13" i="19"/>
  <c r="AP13" i="19"/>
  <c r="Z14" i="19"/>
  <c r="AG14" i="19"/>
  <c r="AI14" i="19"/>
  <c r="AP14" i="19"/>
  <c r="Z15" i="19"/>
  <c r="BC53" i="11" s="1"/>
  <c r="BE53" i="11" s="1"/>
  <c r="BN53" i="11" s="1"/>
  <c r="BO53" i="11" s="1"/>
  <c r="AB15" i="19"/>
  <c r="AI15" i="19"/>
  <c r="AS15" i="19" s="1"/>
  <c r="AP15" i="19"/>
  <c r="AU15" i="19"/>
  <c r="AB16" i="19"/>
  <c r="AG16" i="19"/>
  <c r="AI16" i="19"/>
  <c r="AP16" i="19"/>
  <c r="AS16" i="19" s="1"/>
  <c r="AU16" i="19" s="1"/>
  <c r="AB17" i="19"/>
  <c r="AG17" i="19"/>
  <c r="BG62" i="11" s="1"/>
  <c r="AI17" i="19"/>
  <c r="AS17" i="19" s="1"/>
  <c r="AU17" i="19" s="1"/>
  <c r="AP17" i="19"/>
  <c r="Z18" i="19"/>
  <c r="AB18" i="19" s="1"/>
  <c r="AA18" i="19"/>
  <c r="AI18" i="19"/>
  <c r="AP18" i="19"/>
  <c r="Z19" i="19"/>
  <c r="AB19" i="19"/>
  <c r="AG19" i="19"/>
  <c r="AI19" i="19"/>
  <c r="AP19" i="19"/>
  <c r="AS19" i="19"/>
  <c r="AU19" i="19" s="1"/>
  <c r="AB20" i="19"/>
  <c r="AG20" i="19"/>
  <c r="AI20" i="19" s="1"/>
  <c r="AP20" i="19"/>
  <c r="AS20" i="19"/>
  <c r="AU20" i="19" s="1"/>
  <c r="AB21" i="19"/>
  <c r="AI21" i="19"/>
  <c r="AP21" i="19"/>
  <c r="AS21" i="19" s="1"/>
  <c r="AU21" i="19" s="1"/>
  <c r="AB22" i="19"/>
  <c r="AG22" i="19"/>
  <c r="BG72" i="11" s="1"/>
  <c r="AP22" i="19"/>
  <c r="Z23" i="19"/>
  <c r="BC75" i="11" s="1"/>
  <c r="AB23" i="19"/>
  <c r="AS23" i="19" s="1"/>
  <c r="AU23" i="19" s="1"/>
  <c r="AI23" i="19"/>
  <c r="AP23" i="19"/>
  <c r="Z24" i="19"/>
  <c r="AB24" i="19"/>
  <c r="AI24" i="19"/>
  <c r="AP24" i="19"/>
  <c r="AS24" i="19" s="1"/>
  <c r="AU24" i="19" s="1"/>
  <c r="Z25" i="19"/>
  <c r="AB25" i="19"/>
  <c r="AS25" i="19" s="1"/>
  <c r="AU25" i="19" s="1"/>
  <c r="AI25" i="19"/>
  <c r="AP25" i="19"/>
  <c r="Z26" i="19"/>
  <c r="AB26" i="19"/>
  <c r="AI26" i="19"/>
  <c r="AP26" i="19"/>
  <c r="AS26" i="19" s="1"/>
  <c r="AU26" i="19"/>
  <c r="AB27" i="19"/>
  <c r="AG27" i="19"/>
  <c r="AP27" i="19"/>
  <c r="Z28" i="19"/>
  <c r="AB28" i="19"/>
  <c r="AG28" i="19"/>
  <c r="AI28" i="19" s="1"/>
  <c r="AP28" i="19"/>
  <c r="AS28" i="19"/>
  <c r="AU28" i="19" s="1"/>
  <c r="Z29" i="19"/>
  <c r="AB29" i="19" s="1"/>
  <c r="AI29" i="19"/>
  <c r="AP29" i="19"/>
  <c r="AB30" i="19"/>
  <c r="AG30" i="19"/>
  <c r="BG99" i="11" s="1"/>
  <c r="AI30" i="19"/>
  <c r="AS30" i="19" s="1"/>
  <c r="AU30" i="19" s="1"/>
  <c r="AP30" i="19"/>
  <c r="Z31" i="19"/>
  <c r="AB31" i="19" s="1"/>
  <c r="AI31" i="19"/>
  <c r="AS31" i="19" s="1"/>
  <c r="AU31" i="19" s="1"/>
  <c r="AP31" i="19"/>
  <c r="Z32" i="19"/>
  <c r="BC101" i="11" s="1"/>
  <c r="AB32" i="19"/>
  <c r="AS32" i="19" s="1"/>
  <c r="AU32" i="19" s="1"/>
  <c r="AG32" i="19"/>
  <c r="AI32" i="19" s="1"/>
  <c r="AP32" i="19"/>
  <c r="Z33" i="19"/>
  <c r="AB33" i="19"/>
  <c r="AI33" i="19"/>
  <c r="AP33" i="19"/>
  <c r="AS33" i="19" s="1"/>
  <c r="AU33" i="19" s="1"/>
  <c r="BA2" i="11"/>
  <c r="BN2" i="11"/>
  <c r="BA3" i="11"/>
  <c r="BN3" i="11"/>
  <c r="BA4" i="11"/>
  <c r="BF4" i="11"/>
  <c r="BI4" i="11" s="1"/>
  <c r="BN4" i="11" s="1"/>
  <c r="BO4" i="11" s="1"/>
  <c r="BH4" i="11"/>
  <c r="BA5" i="11"/>
  <c r="BN5" i="11"/>
  <c r="BO5" i="11"/>
  <c r="BA6" i="11"/>
  <c r="BN6" i="11"/>
  <c r="BA7" i="11"/>
  <c r="BO7" i="11" s="1"/>
  <c r="BN7" i="11"/>
  <c r="BA8" i="11"/>
  <c r="BN8" i="11"/>
  <c r="BO8" i="11" s="1"/>
  <c r="BA9" i="11"/>
  <c r="BN9" i="11"/>
  <c r="BO9" i="11"/>
  <c r="BA10" i="11"/>
  <c r="BN10" i="11"/>
  <c r="BO10" i="11" s="1"/>
  <c r="BA11" i="11"/>
  <c r="BN11" i="11"/>
  <c r="BO11" i="11" s="1"/>
  <c r="BA12" i="11"/>
  <c r="BN12" i="11"/>
  <c r="BO12" i="11"/>
  <c r="BA13" i="11"/>
  <c r="BO13" i="11" s="1"/>
  <c r="BN13" i="11"/>
  <c r="BA14" i="11"/>
  <c r="BN14" i="11"/>
  <c r="BO14" i="11" s="1"/>
  <c r="BA15" i="11"/>
  <c r="BN15" i="11"/>
  <c r="BO15" i="11"/>
  <c r="BA16" i="11"/>
  <c r="BN16" i="11"/>
  <c r="BO16" i="11" s="1"/>
  <c r="BA17" i="11"/>
  <c r="BN17" i="11"/>
  <c r="BO17" i="11"/>
  <c r="BA18" i="11"/>
  <c r="BN18" i="11"/>
  <c r="BO18" i="11" s="1"/>
  <c r="BA19" i="11"/>
  <c r="BN19" i="11"/>
  <c r="BO19" i="11" s="1"/>
  <c r="BA20" i="11"/>
  <c r="BN20" i="11"/>
  <c r="BO20" i="11"/>
  <c r="BA21" i="11"/>
  <c r="BN21" i="11"/>
  <c r="BO21" i="11"/>
  <c r="BA22" i="11"/>
  <c r="BN22" i="11"/>
  <c r="BA23" i="11"/>
  <c r="BB23" i="11"/>
  <c r="BC23" i="11"/>
  <c r="BD23" i="11"/>
  <c r="BF23" i="11"/>
  <c r="BG23" i="11"/>
  <c r="BH23" i="11"/>
  <c r="BA24" i="11"/>
  <c r="BB24" i="11"/>
  <c r="BC24" i="11"/>
  <c r="BD24" i="11"/>
  <c r="BA25" i="11"/>
  <c r="BO25" i="11" s="1"/>
  <c r="BN25" i="11"/>
  <c r="BA26" i="11"/>
  <c r="BB26" i="11"/>
  <c r="BD26" i="11"/>
  <c r="BF26" i="11"/>
  <c r="BH26" i="11"/>
  <c r="BA27" i="11"/>
  <c r="BN27" i="11"/>
  <c r="BO27" i="11"/>
  <c r="BA28" i="11"/>
  <c r="BB28" i="11"/>
  <c r="BC28" i="11"/>
  <c r="BD28" i="11"/>
  <c r="BF28" i="11"/>
  <c r="BG28" i="11"/>
  <c r="BH28" i="11"/>
  <c r="BA29" i="11"/>
  <c r="BB29" i="11"/>
  <c r="BC29" i="11"/>
  <c r="BD29" i="11"/>
  <c r="BE29" i="11"/>
  <c r="BF29" i="11"/>
  <c r="BH29" i="11"/>
  <c r="BA30" i="11"/>
  <c r="BN30" i="11"/>
  <c r="BA31" i="11"/>
  <c r="BO31" i="11" s="1"/>
  <c r="BN31" i="11"/>
  <c r="BA32" i="11"/>
  <c r="BN32" i="11"/>
  <c r="BO32" i="11" s="1"/>
  <c r="BA33" i="11"/>
  <c r="BN33" i="11"/>
  <c r="BO33" i="11"/>
  <c r="BA34" i="11"/>
  <c r="BJ34" i="11"/>
  <c r="BL34" i="11"/>
  <c r="BM34" i="11"/>
  <c r="BN34" i="11" s="1"/>
  <c r="BO34" i="11" s="1"/>
  <c r="BA35" i="11"/>
  <c r="BB35" i="11"/>
  <c r="BC35" i="11"/>
  <c r="BE35" i="11" s="1"/>
  <c r="BN35" i="11" s="1"/>
  <c r="BO35" i="11" s="1"/>
  <c r="BD35" i="11"/>
  <c r="BF35" i="11"/>
  <c r="BG35" i="11"/>
  <c r="BI35" i="11" s="1"/>
  <c r="BH35" i="11"/>
  <c r="BA36" i="11"/>
  <c r="BN36" i="11"/>
  <c r="BO36" i="11" s="1"/>
  <c r="BA37" i="11"/>
  <c r="BN37" i="11"/>
  <c r="BO37" i="11"/>
  <c r="BA38" i="11"/>
  <c r="BN38" i="11"/>
  <c r="BO38" i="11" s="1"/>
  <c r="BA39" i="11"/>
  <c r="BN39" i="11"/>
  <c r="BO39" i="11" s="1"/>
  <c r="BA40" i="11"/>
  <c r="BB40" i="11"/>
  <c r="BD40" i="11"/>
  <c r="BA41" i="11"/>
  <c r="BO41" i="11" s="1"/>
  <c r="BN41" i="11"/>
  <c r="BA42" i="11"/>
  <c r="BN42" i="11"/>
  <c r="BO42" i="11" s="1"/>
  <c r="BA43" i="11"/>
  <c r="BN43" i="11"/>
  <c r="BO43" i="11"/>
  <c r="BA44" i="11"/>
  <c r="BB44" i="11"/>
  <c r="BC44" i="11"/>
  <c r="BD44" i="11"/>
  <c r="BA45" i="11"/>
  <c r="BB45" i="11"/>
  <c r="BC45" i="11"/>
  <c r="BD45" i="11"/>
  <c r="BE45" i="11"/>
  <c r="BN45" i="11" s="1"/>
  <c r="BO45" i="11" s="1"/>
  <c r="BA46" i="11"/>
  <c r="BN46" i="11"/>
  <c r="BA47" i="11"/>
  <c r="BB47" i="11"/>
  <c r="BC47" i="11"/>
  <c r="BD47" i="11"/>
  <c r="BE47" i="11"/>
  <c r="BF47" i="11"/>
  <c r="BH47" i="11"/>
  <c r="BA48" i="11"/>
  <c r="BN48" i="11"/>
  <c r="BO48" i="11" s="1"/>
  <c r="BA49" i="11"/>
  <c r="BN49" i="11"/>
  <c r="BO49" i="11"/>
  <c r="BA50" i="11"/>
  <c r="BB50" i="11"/>
  <c r="BD50" i="11"/>
  <c r="BF50" i="11"/>
  <c r="BG50" i="11"/>
  <c r="BH50" i="11"/>
  <c r="BI50" i="11"/>
  <c r="BA51" i="11"/>
  <c r="BN51" i="11"/>
  <c r="BO51" i="11"/>
  <c r="BA52" i="11"/>
  <c r="BN52" i="11"/>
  <c r="BO52" i="11" s="1"/>
  <c r="BA53" i="11"/>
  <c r="BB53" i="11"/>
  <c r="BD53" i="11"/>
  <c r="BA54" i="11"/>
  <c r="BN54" i="11"/>
  <c r="BA55" i="11"/>
  <c r="BN55" i="11"/>
  <c r="BO55" i="11" s="1"/>
  <c r="BA56" i="11"/>
  <c r="BF56" i="11"/>
  <c r="BG56" i="11"/>
  <c r="BH56" i="11"/>
  <c r="BA57" i="11"/>
  <c r="BO57" i="11" s="1"/>
  <c r="BN57" i="11"/>
  <c r="BA58" i="11"/>
  <c r="BN58" i="11"/>
  <c r="BO58" i="11" s="1"/>
  <c r="BA59" i="11"/>
  <c r="BO59" i="11" s="1"/>
  <c r="BN59" i="11"/>
  <c r="BA60" i="11"/>
  <c r="BN60" i="11"/>
  <c r="BO60" i="11" s="1"/>
  <c r="BA61" i="11"/>
  <c r="BO61" i="11" s="1"/>
  <c r="BN61" i="11"/>
  <c r="BA62" i="11"/>
  <c r="BF62" i="11"/>
  <c r="BI62" i="11" s="1"/>
  <c r="BN62" i="11" s="1"/>
  <c r="BO62" i="11" s="1"/>
  <c r="BH62" i="11"/>
  <c r="BA63" i="11"/>
  <c r="BB63" i="11"/>
  <c r="BD63" i="11"/>
  <c r="BA64" i="11"/>
  <c r="BB64" i="11"/>
  <c r="BE64" i="11" s="1"/>
  <c r="BC64" i="11"/>
  <c r="BD64" i="11"/>
  <c r="BF64" i="11"/>
  <c r="BG64" i="11"/>
  <c r="BH64" i="11"/>
  <c r="BA65" i="11"/>
  <c r="BN65" i="11"/>
  <c r="BO65" i="11"/>
  <c r="BA66" i="11"/>
  <c r="BN66" i="11"/>
  <c r="BO66" i="11" s="1"/>
  <c r="BA67" i="11"/>
  <c r="BN67" i="11"/>
  <c r="BO67" i="11" s="1"/>
  <c r="BA68" i="11"/>
  <c r="BF68" i="11"/>
  <c r="BG68" i="11"/>
  <c r="BH68" i="11"/>
  <c r="BA69" i="11"/>
  <c r="BO69" i="11" s="1"/>
  <c r="BN69" i="11"/>
  <c r="BA70" i="11"/>
  <c r="BN70" i="11"/>
  <c r="BO70" i="11" s="1"/>
  <c r="BA71" i="11"/>
  <c r="BN71" i="11"/>
  <c r="BO71" i="11"/>
  <c r="BA72" i="11"/>
  <c r="BF72" i="11"/>
  <c r="BH72" i="11"/>
  <c r="BA73" i="11"/>
  <c r="BO73" i="11" s="1"/>
  <c r="BN73" i="11"/>
  <c r="BA74" i="11"/>
  <c r="BN74" i="11"/>
  <c r="BO74" i="11" s="1"/>
  <c r="BA75" i="11"/>
  <c r="BB75" i="11"/>
  <c r="BD75" i="11"/>
  <c r="BA76" i="11"/>
  <c r="BN76" i="11"/>
  <c r="BO76" i="11"/>
  <c r="BA77" i="11"/>
  <c r="BB77" i="11"/>
  <c r="BC77" i="11"/>
  <c r="BD77" i="11"/>
  <c r="BE77" i="11"/>
  <c r="BN77" i="11" s="1"/>
  <c r="BO77" i="11" s="1"/>
  <c r="BA78" i="11"/>
  <c r="BN78" i="11"/>
  <c r="BO78" i="11" s="1"/>
  <c r="BA79" i="11"/>
  <c r="BN79" i="11"/>
  <c r="BA80" i="11"/>
  <c r="BN80" i="11"/>
  <c r="BO80" i="11"/>
  <c r="BA81" i="11"/>
  <c r="BN81" i="11"/>
  <c r="BO81" i="11"/>
  <c r="BA82" i="11"/>
  <c r="BN82" i="11"/>
  <c r="BA83" i="11"/>
  <c r="BN83" i="11"/>
  <c r="BO83" i="11"/>
  <c r="BA84" i="11"/>
  <c r="BB84" i="11"/>
  <c r="BC84" i="11"/>
  <c r="BD84" i="11"/>
  <c r="BA85" i="11"/>
  <c r="BO85" i="11" s="1"/>
  <c r="BN85" i="11"/>
  <c r="BA86" i="11"/>
  <c r="BN86" i="11"/>
  <c r="BO86" i="11" s="1"/>
  <c r="BA87" i="11"/>
  <c r="BO87" i="11" s="1"/>
  <c r="BN87" i="11"/>
  <c r="BA88" i="11"/>
  <c r="BN88" i="11"/>
  <c r="BO88" i="11" s="1"/>
  <c r="BA89" i="11"/>
  <c r="BN89" i="11"/>
  <c r="BO89" i="11"/>
  <c r="BA90" i="11"/>
  <c r="BN90" i="11"/>
  <c r="BO90" i="11" s="1"/>
  <c r="BA91" i="11"/>
  <c r="BN91" i="11"/>
  <c r="BO91" i="11" s="1"/>
  <c r="BA92" i="11"/>
  <c r="BN92" i="11"/>
  <c r="BO92" i="11"/>
  <c r="BA93" i="11"/>
  <c r="BB93" i="11"/>
  <c r="BC93" i="11"/>
  <c r="BD93" i="11"/>
  <c r="BA94" i="11"/>
  <c r="BF94" i="11"/>
  <c r="BH94" i="11"/>
  <c r="BA95" i="11"/>
  <c r="BB95" i="11"/>
  <c r="BC95" i="11"/>
  <c r="BD95" i="11"/>
  <c r="BE95" i="11"/>
  <c r="BF95" i="11"/>
  <c r="BG95" i="11"/>
  <c r="BH95" i="11"/>
  <c r="BI95" i="11"/>
  <c r="BA96" i="11"/>
  <c r="BB96" i="11"/>
  <c r="BE96" i="11" s="1"/>
  <c r="BC96" i="11"/>
  <c r="BD96" i="11"/>
  <c r="BN96" i="11"/>
  <c r="BO96" i="11" s="1"/>
  <c r="BA97" i="11"/>
  <c r="BN97" i="11"/>
  <c r="BO97" i="11"/>
  <c r="BA98" i="11"/>
  <c r="BN98" i="11"/>
  <c r="BA99" i="11"/>
  <c r="BF99" i="11"/>
  <c r="BH99" i="11"/>
  <c r="BA100" i="11"/>
  <c r="BB100" i="11"/>
  <c r="BC100" i="11"/>
  <c r="BD100" i="11"/>
  <c r="BA101" i="11"/>
  <c r="BB101" i="11"/>
  <c r="BD101" i="11"/>
  <c r="BE101" i="11"/>
  <c r="BF101" i="11"/>
  <c r="BG101" i="11"/>
  <c r="BH101" i="11"/>
  <c r="BI101" i="11"/>
  <c r="BA102" i="11"/>
  <c r="BN102" i="11"/>
  <c r="BO102" i="11" s="1"/>
  <c r="BA103" i="11"/>
  <c r="BB103" i="11"/>
  <c r="BC103" i="11"/>
  <c r="BD103" i="11"/>
  <c r="BE103" i="11"/>
  <c r="BN103" i="11" s="1"/>
  <c r="BO103" i="11" s="1"/>
  <c r="BA104" i="11"/>
  <c r="BN104" i="11"/>
  <c r="BO104" i="11"/>
  <c r="M5" i="20"/>
  <c r="BP8" i="20"/>
  <c r="BQ8" i="20"/>
  <c r="BY9" i="20"/>
  <c r="BZ9" i="20"/>
  <c r="CA9" i="20"/>
  <c r="BA10" i="20"/>
  <c r="BH10" i="20"/>
  <c r="D11" i="20"/>
  <c r="E11" i="20" s="1"/>
  <c r="K11" i="20"/>
  <c r="U11" i="20" s="1"/>
  <c r="BS11" i="20"/>
  <c r="BS12" i="20" s="1"/>
  <c r="BT11" i="20"/>
  <c r="BT12" i="20" s="1"/>
  <c r="AK12" i="20"/>
  <c r="AL12" i="20"/>
  <c r="AM12" i="20"/>
  <c r="AN12" i="20"/>
  <c r="AQ12" i="20"/>
  <c r="AS12" i="20"/>
  <c r="BP12" i="20"/>
  <c r="D13" i="20"/>
  <c r="E13" i="20" s="1"/>
  <c r="K13" i="20"/>
  <c r="R13" i="20"/>
  <c r="T13" i="20"/>
  <c r="V13" i="20"/>
  <c r="AF13" i="20"/>
  <c r="AF14" i="20" s="1"/>
  <c r="AJ13" i="20"/>
  <c r="AJ14" i="20" s="1"/>
  <c r="BS13" i="20"/>
  <c r="BS14" i="20" s="1"/>
  <c r="BT13" i="20"/>
  <c r="BT14" i="20" s="1"/>
  <c r="AK14" i="20"/>
  <c r="AL14" i="20"/>
  <c r="AM14" i="20"/>
  <c r="AN14" i="20"/>
  <c r="AQ14" i="20"/>
  <c r="AS14" i="20"/>
  <c r="BP14" i="20"/>
  <c r="D15" i="20"/>
  <c r="E15" i="20" s="1"/>
  <c r="K15" i="20"/>
  <c r="BS15" i="20"/>
  <c r="BS16" i="20" s="1"/>
  <c r="BT15" i="20"/>
  <c r="AK16" i="20"/>
  <c r="AL16" i="20"/>
  <c r="AM16" i="20"/>
  <c r="AN16" i="20"/>
  <c r="AQ16" i="20"/>
  <c r="AS16" i="20"/>
  <c r="BP16" i="20"/>
  <c r="BT16" i="20"/>
  <c r="D17" i="20"/>
  <c r="E17" i="20" s="1"/>
  <c r="K17" i="20"/>
  <c r="BS17" i="20"/>
  <c r="BT17" i="20"/>
  <c r="D18" i="20"/>
  <c r="E18" i="20" s="1"/>
  <c r="K18" i="20"/>
  <c r="U18" i="20"/>
  <c r="AB18" i="20"/>
  <c r="BS18" i="20"/>
  <c r="BT18" i="20"/>
  <c r="D19" i="20"/>
  <c r="E19" i="20" s="1"/>
  <c r="K19" i="20"/>
  <c r="BS19" i="20"/>
  <c r="BT19" i="20"/>
  <c r="D20" i="20"/>
  <c r="E20" i="20" s="1"/>
  <c r="K20" i="20"/>
  <c r="AR20" i="20" s="1"/>
  <c r="U20" i="20"/>
  <c r="AB20" i="20"/>
  <c r="BS20" i="20"/>
  <c r="BT20" i="20"/>
  <c r="D21" i="20"/>
  <c r="E21" i="20" s="1"/>
  <c r="K21" i="20"/>
  <c r="AB21" i="20"/>
  <c r="BK21" i="20" s="1"/>
  <c r="BL21" i="20"/>
  <c r="D22" i="20"/>
  <c r="E22" i="20" s="1"/>
  <c r="K22" i="20"/>
  <c r="U22" i="20"/>
  <c r="AB22" i="20"/>
  <c r="AF22" i="20"/>
  <c r="AI22" i="20"/>
  <c r="BS22" i="20"/>
  <c r="BT22" i="20"/>
  <c r="D23" i="20"/>
  <c r="E23" i="20" s="1"/>
  <c r="K23" i="20"/>
  <c r="U23" i="20"/>
  <c r="AB23" i="20"/>
  <c r="BS23" i="20"/>
  <c r="BT23" i="20"/>
  <c r="D24" i="20"/>
  <c r="E24" i="20" s="1"/>
  <c r="K24" i="20"/>
  <c r="AB24" i="20"/>
  <c r="AF24" i="20"/>
  <c r="BS24" i="20"/>
  <c r="BT24" i="20"/>
  <c r="D25" i="20"/>
  <c r="E25" i="20" s="1"/>
  <c r="K25" i="20"/>
  <c r="R25" i="20"/>
  <c r="AB25" i="20"/>
  <c r="AI25" i="20"/>
  <c r="AR25" i="20"/>
  <c r="BS25" i="20"/>
  <c r="BT25" i="20"/>
  <c r="D26" i="20"/>
  <c r="E26" i="20" s="1"/>
  <c r="K26" i="20"/>
  <c r="AB26" i="20"/>
  <c r="BS26" i="20"/>
  <c r="BT26" i="20"/>
  <c r="D27" i="20"/>
  <c r="E27" i="20" s="1"/>
  <c r="K27" i="20"/>
  <c r="S27" i="20"/>
  <c r="AB27" i="20"/>
  <c r="AE27" i="20"/>
  <c r="BO27" i="20" s="1"/>
  <c r="AF27" i="20"/>
  <c r="AI27" i="20"/>
  <c r="AJ27" i="20"/>
  <c r="AP27" i="20"/>
  <c r="AR27" i="20"/>
  <c r="AV27" i="20"/>
  <c r="AW27" i="20"/>
  <c r="AX27" i="20"/>
  <c r="AY27" i="20"/>
  <c r="AZ27" i="20"/>
  <c r="BA27" i="20"/>
  <c r="BB27" i="20"/>
  <c r="BD27" i="20"/>
  <c r="BE27" i="20"/>
  <c r="BF27" i="20"/>
  <c r="BG27" i="20"/>
  <c r="BH27" i="20"/>
  <c r="BS27" i="20"/>
  <c r="BT27" i="20"/>
  <c r="D28" i="20"/>
  <c r="E28" i="20" s="1"/>
  <c r="K28" i="20"/>
  <c r="V28" i="20" s="1"/>
  <c r="S28" i="20"/>
  <c r="AB28" i="20"/>
  <c r="AI28" i="20"/>
  <c r="BS28" i="20"/>
  <c r="BT28" i="20"/>
  <c r="D29" i="20"/>
  <c r="E29" i="20" s="1"/>
  <c r="K29" i="20"/>
  <c r="AI29" i="20" s="1"/>
  <c r="BS29" i="20"/>
  <c r="BT29" i="20"/>
  <c r="D30" i="20"/>
  <c r="E30" i="20" s="1"/>
  <c r="K30" i="20"/>
  <c r="AB30" i="20"/>
  <c r="BS30" i="20"/>
  <c r="BT30" i="20"/>
  <c r="D31" i="20"/>
  <c r="E31" i="20" s="1"/>
  <c r="K31" i="20"/>
  <c r="AB31" i="20"/>
  <c r="BS31" i="20"/>
  <c r="BT31" i="20"/>
  <c r="D32" i="20"/>
  <c r="E32" i="20" s="1"/>
  <c r="K32" i="20"/>
  <c r="AF32" i="20" s="1"/>
  <c r="BS32" i="20"/>
  <c r="BT32" i="20"/>
  <c r="D33" i="20"/>
  <c r="E33" i="20" s="1"/>
  <c r="K33" i="20"/>
  <c r="V33" i="20"/>
  <c r="AF33" i="20"/>
  <c r="AI33" i="20"/>
  <c r="BS33" i="20"/>
  <c r="BT33" i="20"/>
  <c r="D34" i="20"/>
  <c r="E34" i="20" s="1"/>
  <c r="K34" i="20"/>
  <c r="AF34" i="20" s="1"/>
  <c r="V34" i="20"/>
  <c r="BS34" i="20"/>
  <c r="BT34" i="20"/>
  <c r="D35" i="20"/>
  <c r="E35" i="20" s="1"/>
  <c r="K35" i="20"/>
  <c r="V35" i="20" s="1"/>
  <c r="AB35" i="20"/>
  <c r="AI35" i="20"/>
  <c r="BS35" i="20"/>
  <c r="BT35" i="20"/>
  <c r="D36" i="20"/>
  <c r="E36" i="20" s="1"/>
  <c r="K36" i="20"/>
  <c r="AF36" i="20" s="1"/>
  <c r="V36" i="20"/>
  <c r="AB36" i="20"/>
  <c r="BS36" i="20"/>
  <c r="BT36" i="20"/>
  <c r="D37" i="20"/>
  <c r="E37" i="20" s="1"/>
  <c r="K37" i="20"/>
  <c r="V37" i="20"/>
  <c r="AB37" i="20"/>
  <c r="AF37" i="20"/>
  <c r="AI37" i="20"/>
  <c r="BS37" i="20"/>
  <c r="BT37" i="20"/>
  <c r="D38" i="20"/>
  <c r="E38" i="20" s="1"/>
  <c r="K38" i="20"/>
  <c r="S38" i="20"/>
  <c r="V38" i="20"/>
  <c r="AF38" i="20"/>
  <c r="AI38" i="20"/>
  <c r="BS38" i="20"/>
  <c r="BT38" i="20"/>
  <c r="D39" i="20"/>
  <c r="E39" i="20" s="1"/>
  <c r="K39" i="20"/>
  <c r="AI39" i="20" s="1"/>
  <c r="S39" i="20"/>
  <c r="BS39" i="20"/>
  <c r="BT39" i="20"/>
  <c r="D40" i="20"/>
  <c r="E40" i="20" s="1"/>
  <c r="K40" i="20"/>
  <c r="AB40" i="20"/>
  <c r="BS40" i="20"/>
  <c r="BT40" i="20"/>
  <c r="D41" i="20"/>
  <c r="E41" i="20" s="1"/>
  <c r="K41" i="20"/>
  <c r="V41" i="20" s="1"/>
  <c r="BS41" i="20"/>
  <c r="BT41" i="20"/>
  <c r="D42" i="20"/>
  <c r="E42" i="20" s="1"/>
  <c r="K42" i="20"/>
  <c r="AF42" i="20"/>
  <c r="AI42" i="20"/>
  <c r="BS42" i="20"/>
  <c r="BT42" i="20"/>
  <c r="D43" i="20"/>
  <c r="E43" i="20" s="1"/>
  <c r="K43" i="20"/>
  <c r="BS43" i="20"/>
  <c r="BT43" i="20"/>
  <c r="D44" i="20"/>
  <c r="E44" i="20" s="1"/>
  <c r="K44" i="20"/>
  <c r="BS44" i="20"/>
  <c r="BT44" i="20"/>
  <c r="D45" i="20"/>
  <c r="E45" i="20" s="1"/>
  <c r="K45" i="20"/>
  <c r="H46" i="54" s="1"/>
  <c r="P46" i="54" s="1"/>
  <c r="Q46" i="54" s="1"/>
  <c r="R45" i="20"/>
  <c r="U45" i="20"/>
  <c r="V45" i="20"/>
  <c r="AB45" i="20"/>
  <c r="BL45" i="20" s="1"/>
  <c r="BN45" i="20" s="1"/>
  <c r="AE45" i="20"/>
  <c r="BO45" i="20" s="1"/>
  <c r="AF45" i="20"/>
  <c r="AI45" i="20"/>
  <c r="AJ45" i="20"/>
  <c r="AP45" i="20"/>
  <c r="AR45" i="20"/>
  <c r="AV45" i="20"/>
  <c r="AW45" i="20"/>
  <c r="AX45" i="20"/>
  <c r="AY45" i="20"/>
  <c r="AZ45" i="20"/>
  <c r="BA45" i="20"/>
  <c r="BB45" i="20"/>
  <c r="BD45" i="20"/>
  <c r="BE45" i="20"/>
  <c r="BF45" i="20"/>
  <c r="BG45" i="20"/>
  <c r="BH45" i="20"/>
  <c r="BS45" i="20"/>
  <c r="BT45" i="20"/>
  <c r="D46" i="20"/>
  <c r="E46" i="20" s="1"/>
  <c r="K46" i="20"/>
  <c r="H47" i="54" s="1"/>
  <c r="P47" i="54" s="1"/>
  <c r="R46" i="20"/>
  <c r="U46" i="20"/>
  <c r="V46" i="20"/>
  <c r="AF46" i="20"/>
  <c r="AI46" i="20"/>
  <c r="AJ46" i="20"/>
  <c r="AP46" i="20"/>
  <c r="AR46" i="20"/>
  <c r="BS46" i="20"/>
  <c r="BT46" i="20"/>
  <c r="D47" i="20"/>
  <c r="E47" i="20" s="1"/>
  <c r="K47" i="20"/>
  <c r="BS47" i="20"/>
  <c r="BT47" i="20"/>
  <c r="D48" i="20"/>
  <c r="E48" i="20" s="1"/>
  <c r="K48" i="20"/>
  <c r="S48" i="20"/>
  <c r="T48" i="20"/>
  <c r="U48" i="20"/>
  <c r="AB48" i="20"/>
  <c r="AI48" i="20"/>
  <c r="AJ48" i="20"/>
  <c r="AP48" i="20"/>
  <c r="BS48" i="20"/>
  <c r="BT48" i="20"/>
  <c r="D49" i="20"/>
  <c r="E49" i="20" s="1"/>
  <c r="K49" i="20"/>
  <c r="R49" i="20"/>
  <c r="U49" i="20"/>
  <c r="AB49" i="20"/>
  <c r="BK49" i="20" s="1"/>
  <c r="AE49" i="20"/>
  <c r="BO49" i="20" s="1"/>
  <c r="AF49" i="20"/>
  <c r="AI49" i="20"/>
  <c r="AJ49" i="20"/>
  <c r="AP49" i="20"/>
  <c r="AR49" i="20"/>
  <c r="AV49" i="20"/>
  <c r="AW49" i="20"/>
  <c r="AX49" i="20"/>
  <c r="AY49" i="20"/>
  <c r="AZ49" i="20"/>
  <c r="BA49" i="20"/>
  <c r="BB49" i="20"/>
  <c r="BD49" i="20"/>
  <c r="BE49" i="20"/>
  <c r="BF49" i="20"/>
  <c r="BG49" i="20"/>
  <c r="BH49" i="20"/>
  <c r="BS49" i="20"/>
  <c r="BT49" i="20"/>
  <c r="D50" i="20"/>
  <c r="E50" i="20" s="1"/>
  <c r="K50" i="20"/>
  <c r="H51" i="54" s="1"/>
  <c r="P51" i="54" s="1"/>
  <c r="Q51" i="54" s="1"/>
  <c r="S50" i="20"/>
  <c r="AJ50" i="20"/>
  <c r="BS50" i="20"/>
  <c r="BT50" i="20"/>
  <c r="D51" i="20"/>
  <c r="E51" i="20" s="1"/>
  <c r="K51" i="20"/>
  <c r="S51" i="20"/>
  <c r="U51" i="20"/>
  <c r="AF51" i="20"/>
  <c r="AI51" i="20"/>
  <c r="BS51" i="20"/>
  <c r="BT51" i="20"/>
  <c r="D52" i="20"/>
  <c r="E52" i="20" s="1"/>
  <c r="K52" i="20"/>
  <c r="R52" i="20"/>
  <c r="AB52" i="20"/>
  <c r="AP52" i="20"/>
  <c r="BS52" i="20"/>
  <c r="BT52" i="20"/>
  <c r="D53" i="20"/>
  <c r="E53" i="20" s="1"/>
  <c r="K53" i="20"/>
  <c r="R53" i="20"/>
  <c r="AP53" i="20"/>
  <c r="BS53" i="20"/>
  <c r="BT53" i="20"/>
  <c r="D54" i="20"/>
  <c r="E54" i="20" s="1"/>
  <c r="K54" i="20"/>
  <c r="R54" i="20"/>
  <c r="AB54" i="20"/>
  <c r="AP54" i="20"/>
  <c r="BS54" i="20"/>
  <c r="BT54" i="20"/>
  <c r="D55" i="20"/>
  <c r="E55" i="20" s="1"/>
  <c r="K55" i="20"/>
  <c r="H56" i="54" s="1"/>
  <c r="P56" i="54" s="1"/>
  <c r="Q56" i="54" s="1"/>
  <c r="R56" i="54" s="1"/>
  <c r="R55" i="20"/>
  <c r="U55" i="20"/>
  <c r="V55" i="20"/>
  <c r="AB55" i="20"/>
  <c r="BL55" i="20" s="1"/>
  <c r="BN55" i="20" s="1"/>
  <c r="AF55" i="20"/>
  <c r="AI55" i="20"/>
  <c r="AJ55" i="20"/>
  <c r="AP55" i="20"/>
  <c r="AR55" i="20"/>
  <c r="BS55" i="20"/>
  <c r="BT55" i="20"/>
  <c r="D56" i="20"/>
  <c r="E56" i="20" s="1"/>
  <c r="K56" i="20"/>
  <c r="R56" i="20"/>
  <c r="AB56" i="20"/>
  <c r="AP56" i="20"/>
  <c r="BS56" i="20"/>
  <c r="BT56" i="20"/>
  <c r="D57" i="20"/>
  <c r="E57" i="20" s="1"/>
  <c r="K57" i="20"/>
  <c r="R57" i="20"/>
  <c r="AB57" i="20"/>
  <c r="AP57" i="20"/>
  <c r="BS57" i="20"/>
  <c r="BT57" i="20"/>
  <c r="D58" i="20"/>
  <c r="E58" i="20" s="1"/>
  <c r="K58" i="20"/>
  <c r="R58" i="20"/>
  <c r="AB58" i="20"/>
  <c r="AP58" i="20"/>
  <c r="BS58" i="20"/>
  <c r="BT58" i="20"/>
  <c r="D59" i="20"/>
  <c r="E59" i="20"/>
  <c r="K59" i="20"/>
  <c r="R59" i="20" s="1"/>
  <c r="AI59" i="20"/>
  <c r="BS59" i="20"/>
  <c r="BT59" i="20"/>
  <c r="AK60" i="20"/>
  <c r="AL60" i="20"/>
  <c r="AM60" i="20"/>
  <c r="AN60" i="20"/>
  <c r="AQ60" i="20"/>
  <c r="AS60" i="20"/>
  <c r="BP60" i="20"/>
  <c r="D61" i="20"/>
  <c r="E61" i="20"/>
  <c r="K61" i="20"/>
  <c r="U61" i="20" s="1"/>
  <c r="BS61" i="20"/>
  <c r="BS63" i="20" s="1"/>
  <c r="BT61" i="20"/>
  <c r="D62" i="20"/>
  <c r="E62" i="20" s="1"/>
  <c r="K62" i="20"/>
  <c r="AP62" i="20" s="1"/>
  <c r="V62" i="20"/>
  <c r="AR62" i="20"/>
  <c r="BS62" i="20"/>
  <c r="BT62" i="20"/>
  <c r="AK63" i="20"/>
  <c r="AL63" i="20"/>
  <c r="AM63" i="20"/>
  <c r="AN63" i="20"/>
  <c r="AQ63" i="20"/>
  <c r="AS63" i="20"/>
  <c r="BP63" i="20"/>
  <c r="D64" i="20"/>
  <c r="E64" i="20"/>
  <c r="K64" i="20"/>
  <c r="H65" i="54" s="1"/>
  <c r="P65" i="54" s="1"/>
  <c r="R64" i="20"/>
  <c r="U64" i="20"/>
  <c r="V64" i="20"/>
  <c r="AF64" i="20"/>
  <c r="AI64" i="20"/>
  <c r="AI65" i="20" s="1"/>
  <c r="AJ64" i="20"/>
  <c r="AJ65" i="20" s="1"/>
  <c r="AP64" i="20"/>
  <c r="AR64" i="20"/>
  <c r="AR65" i="20" s="1"/>
  <c r="BS64" i="20"/>
  <c r="BT64" i="20"/>
  <c r="AK65" i="20"/>
  <c r="AL65" i="20"/>
  <c r="AM65" i="20"/>
  <c r="AN65" i="20"/>
  <c r="AQ65" i="20"/>
  <c r="AS65" i="20"/>
  <c r="BP65" i="20"/>
  <c r="BS65" i="20"/>
  <c r="BT65" i="20"/>
  <c r="D66" i="20"/>
  <c r="E66" i="20" s="1"/>
  <c r="K66" i="20"/>
  <c r="AP66" i="20" s="1"/>
  <c r="AB66" i="20"/>
  <c r="BS66" i="20"/>
  <c r="BS67" i="20" s="1"/>
  <c r="BT66" i="20"/>
  <c r="BT67" i="20" s="1"/>
  <c r="AK67" i="20"/>
  <c r="AL67" i="20"/>
  <c r="AM67" i="20"/>
  <c r="AN67" i="20"/>
  <c r="AQ67" i="20"/>
  <c r="AS67" i="20"/>
  <c r="BP67" i="20"/>
  <c r="D68" i="20"/>
  <c r="E68" i="20" s="1"/>
  <c r="K68" i="20"/>
  <c r="AR68" i="20"/>
  <c r="BS68" i="20"/>
  <c r="BT68" i="20"/>
  <c r="BT70" i="20" s="1"/>
  <c r="D69" i="20"/>
  <c r="E69" i="20" s="1"/>
  <c r="K69" i="20"/>
  <c r="AB69" i="20"/>
  <c r="BS69" i="20"/>
  <c r="BT69" i="20"/>
  <c r="AK70" i="20"/>
  <c r="AL70" i="20"/>
  <c r="AM70" i="20"/>
  <c r="AN70" i="20"/>
  <c r="AQ70" i="20"/>
  <c r="AS70" i="20"/>
  <c r="BP70" i="20"/>
  <c r="D71" i="20"/>
  <c r="E71" i="20" s="1"/>
  <c r="K71" i="20"/>
  <c r="U71" i="20"/>
  <c r="AB71" i="20"/>
  <c r="BL71" i="20" s="1"/>
  <c r="BN71" i="20" s="1"/>
  <c r="AE71" i="20"/>
  <c r="BO71" i="20" s="1"/>
  <c r="AF71" i="20"/>
  <c r="AI71" i="20"/>
  <c r="AJ71" i="20"/>
  <c r="AP71" i="20"/>
  <c r="AR71" i="20"/>
  <c r="AV71" i="20"/>
  <c r="AW71" i="20"/>
  <c r="AX71" i="20"/>
  <c r="AY71" i="20"/>
  <c r="AZ71" i="20"/>
  <c r="BA71" i="20"/>
  <c r="BB71" i="20"/>
  <c r="BD71" i="20"/>
  <c r="BE71" i="20"/>
  <c r="BF71" i="20"/>
  <c r="BG71" i="20"/>
  <c r="BH71" i="20"/>
  <c r="BK71" i="20"/>
  <c r="BS71" i="20"/>
  <c r="BT71" i="20"/>
  <c r="D72" i="20"/>
  <c r="E72" i="20" s="1"/>
  <c r="K72" i="20"/>
  <c r="U72" i="20"/>
  <c r="AB72" i="20"/>
  <c r="BS72" i="20"/>
  <c r="BT72" i="20"/>
  <c r="D73" i="20"/>
  <c r="E73" i="20" s="1"/>
  <c r="K73" i="20"/>
  <c r="S73" i="20" s="1"/>
  <c r="BS73" i="20"/>
  <c r="BT73" i="20"/>
  <c r="D74" i="20"/>
  <c r="E74" i="20" s="1"/>
  <c r="K74" i="20"/>
  <c r="U74" i="20"/>
  <c r="AB74" i="20"/>
  <c r="BS74" i="20"/>
  <c r="BT74" i="20"/>
  <c r="D75" i="20"/>
  <c r="E75" i="20" s="1"/>
  <c r="K75" i="20"/>
  <c r="S75" i="20" s="1"/>
  <c r="AB75" i="20"/>
  <c r="BS75" i="20"/>
  <c r="BT75" i="20"/>
  <c r="AK76" i="20"/>
  <c r="AL76" i="20"/>
  <c r="AM76" i="20"/>
  <c r="AN76" i="20"/>
  <c r="AQ76" i="20"/>
  <c r="AS76" i="20"/>
  <c r="BP76" i="20"/>
  <c r="D77" i="20"/>
  <c r="E77" i="20" s="1"/>
  <c r="K77" i="20"/>
  <c r="R77" i="20"/>
  <c r="AB77" i="20"/>
  <c r="AF77" i="20"/>
  <c r="BS77" i="20"/>
  <c r="BS78" i="20" s="1"/>
  <c r="BT77" i="20"/>
  <c r="AK78" i="20"/>
  <c r="AL78" i="20"/>
  <c r="AM78" i="20"/>
  <c r="AN78" i="20"/>
  <c r="AQ78" i="20"/>
  <c r="AS78" i="20"/>
  <c r="BP78" i="20"/>
  <c r="BT78" i="20"/>
  <c r="D79" i="20"/>
  <c r="E79" i="20" s="1"/>
  <c r="K79" i="20"/>
  <c r="S79" i="20"/>
  <c r="AI79" i="20"/>
  <c r="BS79" i="20"/>
  <c r="BT79" i="20"/>
  <c r="D80" i="20"/>
  <c r="E80" i="20" s="1"/>
  <c r="K80" i="20"/>
  <c r="R80" i="20" s="1"/>
  <c r="BS80" i="20"/>
  <c r="BT80" i="20"/>
  <c r="D81" i="20"/>
  <c r="E81" i="20" s="1"/>
  <c r="K81" i="20"/>
  <c r="H82" i="54" s="1"/>
  <c r="P82" i="54" s="1"/>
  <c r="R81" i="20"/>
  <c r="S81" i="20"/>
  <c r="U81" i="20"/>
  <c r="V81" i="20"/>
  <c r="AB81" i="20"/>
  <c r="AF81" i="20"/>
  <c r="AI81" i="20"/>
  <c r="AP81" i="20"/>
  <c r="AR81" i="20"/>
  <c r="BS81" i="20"/>
  <c r="BT81" i="20"/>
  <c r="AK82" i="20"/>
  <c r="AL82" i="20"/>
  <c r="AM82" i="20"/>
  <c r="AN82" i="20"/>
  <c r="AQ82" i="20"/>
  <c r="AS82" i="20"/>
  <c r="BP82" i="20"/>
  <c r="D83" i="20"/>
  <c r="E83" i="20"/>
  <c r="K83" i="20"/>
  <c r="AB83" i="20"/>
  <c r="AR83" i="20"/>
  <c r="BS83" i="20"/>
  <c r="BT83" i="20"/>
  <c r="BT84" i="20" s="1"/>
  <c r="AK84" i="20"/>
  <c r="AL84" i="20"/>
  <c r="AM84" i="20"/>
  <c r="AN84" i="20"/>
  <c r="AQ84" i="20"/>
  <c r="AS84" i="20"/>
  <c r="BP84" i="20"/>
  <c r="BS84" i="20"/>
  <c r="D85" i="20"/>
  <c r="E85" i="20" s="1"/>
  <c r="K85" i="20"/>
  <c r="R85" i="20"/>
  <c r="AB85" i="20"/>
  <c r="AF85" i="20"/>
  <c r="BS85" i="20"/>
  <c r="BS86" i="20" s="1"/>
  <c r="BT85" i="20"/>
  <c r="AK86" i="20"/>
  <c r="AL86" i="20"/>
  <c r="AM86" i="20"/>
  <c r="AN86" i="20"/>
  <c r="AQ86" i="20"/>
  <c r="AS86" i="20"/>
  <c r="BP86" i="20"/>
  <c r="BT86" i="20"/>
  <c r="D87" i="20"/>
  <c r="E87" i="20" s="1"/>
  <c r="K87" i="20"/>
  <c r="U87" i="20"/>
  <c r="AB87" i="20"/>
  <c r="AI87" i="20"/>
  <c r="AP87" i="20"/>
  <c r="BS87" i="20"/>
  <c r="BS88" i="20" s="1"/>
  <c r="BT87" i="20"/>
  <c r="BT88" i="20" s="1"/>
  <c r="AI88" i="20"/>
  <c r="AK88" i="20"/>
  <c r="AL88" i="20"/>
  <c r="AM88" i="20"/>
  <c r="AN88" i="20"/>
  <c r="AQ88" i="20"/>
  <c r="AS88" i="20"/>
  <c r="BP88" i="20"/>
  <c r="D89" i="20"/>
  <c r="E89" i="20" s="1"/>
  <c r="K89" i="20"/>
  <c r="AB89" i="20"/>
  <c r="BS89" i="20"/>
  <c r="BS90" i="20" s="1"/>
  <c r="BT89" i="20"/>
  <c r="BT90" i="20" s="1"/>
  <c r="AK90" i="20"/>
  <c r="AL90" i="20"/>
  <c r="AM90" i="20"/>
  <c r="AN90" i="20"/>
  <c r="AQ90" i="20"/>
  <c r="AS90" i="20"/>
  <c r="BP90" i="20"/>
  <c r="D91" i="20"/>
  <c r="E91" i="20"/>
  <c r="K91" i="20"/>
  <c r="S91" i="20" s="1"/>
  <c r="AI91" i="20"/>
  <c r="AI92" i="20" s="1"/>
  <c r="BS91" i="20"/>
  <c r="BS92" i="20" s="1"/>
  <c r="BT91" i="20"/>
  <c r="BT92" i="20" s="1"/>
  <c r="AK92" i="20"/>
  <c r="AL92" i="20"/>
  <c r="AM92" i="20"/>
  <c r="AN92" i="20"/>
  <c r="AQ92" i="20"/>
  <c r="AS92" i="20"/>
  <c r="BP92" i="20"/>
  <c r="D93" i="20"/>
  <c r="E93" i="20" s="1"/>
  <c r="K93" i="20"/>
  <c r="AB93" i="20"/>
  <c r="AF93" i="20"/>
  <c r="BS93" i="20"/>
  <c r="BT93" i="20"/>
  <c r="D94" i="20"/>
  <c r="E94" i="20" s="1"/>
  <c r="K94" i="20"/>
  <c r="AJ94" i="20"/>
  <c r="BS94" i="20"/>
  <c r="BT94" i="20"/>
  <c r="AK95" i="20"/>
  <c r="AL95" i="20"/>
  <c r="AM95" i="20"/>
  <c r="AN95" i="20"/>
  <c r="AQ95" i="20"/>
  <c r="AS95" i="20"/>
  <c r="BP95" i="20"/>
  <c r="BS95" i="20"/>
  <c r="D96" i="20"/>
  <c r="E96" i="20"/>
  <c r="K96" i="20"/>
  <c r="V96" i="20"/>
  <c r="AB96" i="20"/>
  <c r="AI96" i="20"/>
  <c r="AJ96" i="20"/>
  <c r="BS96" i="20"/>
  <c r="BT96" i="20"/>
  <c r="D97" i="20"/>
  <c r="E97" i="20" s="1"/>
  <c r="K97" i="20"/>
  <c r="R97" i="20"/>
  <c r="U97" i="20"/>
  <c r="AF97" i="20"/>
  <c r="AJ97" i="20"/>
  <c r="AR97" i="20"/>
  <c r="BS97" i="20"/>
  <c r="BT97" i="20"/>
  <c r="D98" i="20"/>
  <c r="E98" i="20"/>
  <c r="K98" i="20"/>
  <c r="T98" i="20"/>
  <c r="U98" i="20"/>
  <c r="V98" i="20"/>
  <c r="AF98" i="20"/>
  <c r="AI98" i="20"/>
  <c r="AP98" i="20"/>
  <c r="AR98" i="20"/>
  <c r="BS98" i="20"/>
  <c r="BT98" i="20"/>
  <c r="D99" i="20"/>
  <c r="E99" i="20" s="1"/>
  <c r="K99" i="20"/>
  <c r="T99" i="20"/>
  <c r="U99" i="20"/>
  <c r="AB99" i="20"/>
  <c r="AF99" i="20"/>
  <c r="AI99" i="20"/>
  <c r="AR99" i="20"/>
  <c r="BS99" i="20"/>
  <c r="BT99" i="20"/>
  <c r="AK100" i="20"/>
  <c r="AL100" i="20"/>
  <c r="AM100" i="20"/>
  <c r="AN100" i="20"/>
  <c r="AQ100" i="20"/>
  <c r="AS100" i="20"/>
  <c r="BP100" i="20"/>
  <c r="D101" i="20"/>
  <c r="E101" i="20" s="1"/>
  <c r="K101" i="20"/>
  <c r="T101" i="20"/>
  <c r="U101" i="20"/>
  <c r="AB101" i="20"/>
  <c r="AI101" i="20"/>
  <c r="AP101" i="20"/>
  <c r="BS101" i="20"/>
  <c r="BS103" i="20" s="1"/>
  <c r="BT101" i="20"/>
  <c r="D102" i="20"/>
  <c r="E102" i="20" s="1"/>
  <c r="K102" i="20"/>
  <c r="U102" i="20" s="1"/>
  <c r="AB102" i="20"/>
  <c r="BS102" i="20"/>
  <c r="BT102" i="20"/>
  <c r="BT103" i="20" s="1"/>
  <c r="AK103" i="20"/>
  <c r="AL103" i="20"/>
  <c r="AM103" i="20"/>
  <c r="AN103" i="20"/>
  <c r="AQ103" i="20"/>
  <c r="AS103" i="20"/>
  <c r="BP103" i="20"/>
  <c r="D104" i="20"/>
  <c r="E104" i="20" s="1"/>
  <c r="K104" i="20"/>
  <c r="R104" i="20" s="1"/>
  <c r="AB104" i="20"/>
  <c r="BS104" i="20"/>
  <c r="BS105" i="20" s="1"/>
  <c r="BT104" i="20"/>
  <c r="AK105" i="20"/>
  <c r="AL105" i="20"/>
  <c r="AM105" i="20"/>
  <c r="AN105" i="20"/>
  <c r="AQ105" i="20"/>
  <c r="AS105" i="20"/>
  <c r="BP105" i="20"/>
  <c r="BT105" i="20"/>
  <c r="D106" i="20"/>
  <c r="E106" i="20"/>
  <c r="K106" i="20"/>
  <c r="U106" i="20"/>
  <c r="AB106" i="20"/>
  <c r="AI106" i="20"/>
  <c r="AJ106" i="20"/>
  <c r="BS106" i="20"/>
  <c r="BT106" i="20"/>
  <c r="D107" i="20"/>
  <c r="E107" i="20" s="1"/>
  <c r="K107" i="20"/>
  <c r="AB107" i="20"/>
  <c r="BS107" i="20"/>
  <c r="BT107" i="20"/>
  <c r="D108" i="20"/>
  <c r="E108" i="20" s="1"/>
  <c r="K108" i="20"/>
  <c r="U108" i="20"/>
  <c r="V108" i="20"/>
  <c r="AB108" i="20"/>
  <c r="AF108" i="20"/>
  <c r="AI108" i="20"/>
  <c r="AR108" i="20"/>
  <c r="BS108" i="20"/>
  <c r="BT108" i="20"/>
  <c r="D109" i="20"/>
  <c r="E109" i="20" s="1"/>
  <c r="K109" i="20"/>
  <c r="S109" i="20"/>
  <c r="AB109" i="20"/>
  <c r="AJ109" i="20"/>
  <c r="AP109" i="20"/>
  <c r="BS109" i="20"/>
  <c r="BT109" i="20"/>
  <c r="AK110" i="20"/>
  <c r="AL110" i="20"/>
  <c r="AM110" i="20"/>
  <c r="AN110" i="20"/>
  <c r="AQ110" i="20"/>
  <c r="AS110" i="20"/>
  <c r="BP110" i="20"/>
  <c r="D111" i="20"/>
  <c r="E111" i="20" s="1"/>
  <c r="K111" i="20"/>
  <c r="S111" i="20"/>
  <c r="T111" i="20"/>
  <c r="AB111" i="20"/>
  <c r="AJ111" i="20"/>
  <c r="AP111" i="20"/>
  <c r="BS111" i="20"/>
  <c r="BT111" i="20"/>
  <c r="BT116" i="20" s="1"/>
  <c r="D112" i="20"/>
  <c r="E112" i="20" s="1"/>
  <c r="K112" i="20"/>
  <c r="U112" i="20" s="1"/>
  <c r="AB112" i="20"/>
  <c r="AF112" i="20"/>
  <c r="BS112" i="20"/>
  <c r="BT112" i="20"/>
  <c r="D113" i="20"/>
  <c r="E113" i="20" s="1"/>
  <c r="K113" i="20"/>
  <c r="AB113" i="20"/>
  <c r="AP113" i="20"/>
  <c r="BS113" i="20"/>
  <c r="BT113" i="20"/>
  <c r="D114" i="20"/>
  <c r="E114" i="20" s="1"/>
  <c r="K114" i="20"/>
  <c r="U114" i="20"/>
  <c r="AB114" i="20"/>
  <c r="AR114" i="20"/>
  <c r="BS114" i="20"/>
  <c r="BT114" i="20"/>
  <c r="D115" i="20"/>
  <c r="E115" i="20" s="1"/>
  <c r="K115" i="20"/>
  <c r="AR115" i="20" s="1"/>
  <c r="AB115" i="20"/>
  <c r="BS115" i="20"/>
  <c r="BT115" i="20"/>
  <c r="AK116" i="20"/>
  <c r="AL116" i="20"/>
  <c r="AM116" i="20"/>
  <c r="AN116" i="20"/>
  <c r="AQ116" i="20"/>
  <c r="AS116" i="20"/>
  <c r="BP116" i="20"/>
  <c r="D117" i="20"/>
  <c r="E117" i="20" s="1"/>
  <c r="K117" i="20"/>
  <c r="H118" i="54" s="1"/>
  <c r="P118" i="54" s="1"/>
  <c r="Q118" i="54" s="1"/>
  <c r="U117" i="20"/>
  <c r="BS117" i="20"/>
  <c r="BT117" i="20"/>
  <c r="D118" i="20"/>
  <c r="E118" i="20" s="1"/>
  <c r="K118" i="20"/>
  <c r="H119" i="54" s="1"/>
  <c r="P119" i="54" s="1"/>
  <c r="U118" i="20"/>
  <c r="AB118" i="20"/>
  <c r="AR118" i="20"/>
  <c r="BS118" i="20"/>
  <c r="BT118" i="20"/>
  <c r="D119" i="20"/>
  <c r="E119" i="20" s="1"/>
  <c r="K119" i="20"/>
  <c r="H120" i="54" s="1"/>
  <c r="P120" i="54" s="1"/>
  <c r="U119" i="20"/>
  <c r="AB119" i="20"/>
  <c r="AR119" i="20"/>
  <c r="BS119" i="20"/>
  <c r="BT119" i="20"/>
  <c r="D120" i="20"/>
  <c r="E120" i="20" s="1"/>
  <c r="K120" i="20"/>
  <c r="H121" i="54" s="1"/>
  <c r="P121" i="54" s="1"/>
  <c r="U120" i="20"/>
  <c r="AB120" i="20"/>
  <c r="AR120" i="20"/>
  <c r="BS120" i="20"/>
  <c r="BT120" i="20"/>
  <c r="AK121" i="20"/>
  <c r="AL121" i="20"/>
  <c r="AM121" i="20"/>
  <c r="AN121" i="20"/>
  <c r="AQ121" i="20"/>
  <c r="AS121" i="20"/>
  <c r="BP121" i="20"/>
  <c r="D122" i="20"/>
  <c r="E122" i="20" s="1"/>
  <c r="K122" i="20"/>
  <c r="H123" i="54" s="1"/>
  <c r="P123" i="54" s="1"/>
  <c r="U122" i="20"/>
  <c r="AB122" i="20"/>
  <c r="AR122" i="20"/>
  <c r="BS122" i="20"/>
  <c r="BT122" i="20"/>
  <c r="D123" i="20"/>
  <c r="E123" i="20" s="1"/>
  <c r="K123" i="20"/>
  <c r="H124" i="54" s="1"/>
  <c r="P124" i="54" s="1"/>
  <c r="U123" i="20"/>
  <c r="AB123" i="20"/>
  <c r="AR123" i="20"/>
  <c r="BS123" i="20"/>
  <c r="BT123" i="20"/>
  <c r="AK124" i="20"/>
  <c r="AL124" i="20"/>
  <c r="AM124" i="20"/>
  <c r="AN124" i="20"/>
  <c r="AQ124" i="20"/>
  <c r="AS124" i="20"/>
  <c r="BP124" i="20"/>
  <c r="BT124" i="20"/>
  <c r="D125" i="20"/>
  <c r="E125" i="20" s="1"/>
  <c r="K125" i="20"/>
  <c r="H126" i="54" s="1"/>
  <c r="P126" i="54" s="1"/>
  <c r="Q126" i="54" s="1"/>
  <c r="U125" i="20"/>
  <c r="AB125" i="20"/>
  <c r="AI125" i="20"/>
  <c r="AR125" i="20"/>
  <c r="BS125" i="20"/>
  <c r="BT125" i="20"/>
  <c r="D126" i="20"/>
  <c r="E126" i="20" s="1"/>
  <c r="K126" i="20"/>
  <c r="H127" i="54" s="1"/>
  <c r="P127" i="54" s="1"/>
  <c r="U126" i="20"/>
  <c r="AB126" i="20"/>
  <c r="AI126" i="20"/>
  <c r="AR126" i="20"/>
  <c r="BS126" i="20"/>
  <c r="BT126" i="20"/>
  <c r="AK127" i="20"/>
  <c r="AL127" i="20"/>
  <c r="AM127" i="20"/>
  <c r="AN127" i="20"/>
  <c r="AQ127" i="20"/>
  <c r="AR127" i="20"/>
  <c r="AS127" i="20"/>
  <c r="BP127" i="20"/>
  <c r="D128" i="20"/>
  <c r="E128" i="20" s="1"/>
  <c r="K128" i="20"/>
  <c r="AB128" i="20"/>
  <c r="BS128" i="20"/>
  <c r="BT128" i="20"/>
  <c r="D129" i="20"/>
  <c r="E129" i="20" s="1"/>
  <c r="K129" i="20"/>
  <c r="H130" i="54" s="1"/>
  <c r="P130" i="54" s="1"/>
  <c r="Q130" i="54" s="1"/>
  <c r="R130" i="54" s="1"/>
  <c r="U129" i="20"/>
  <c r="AB129" i="20"/>
  <c r="AE129" i="20"/>
  <c r="BO129" i="20" s="1"/>
  <c r="AF129" i="20"/>
  <c r="AI129" i="20"/>
  <c r="AJ129" i="20"/>
  <c r="AP129" i="20"/>
  <c r="AR129" i="20"/>
  <c r="AV129" i="20"/>
  <c r="AW129" i="20"/>
  <c r="AX129" i="20"/>
  <c r="AY129" i="20"/>
  <c r="AZ129" i="20"/>
  <c r="BA129" i="20"/>
  <c r="BB129" i="20"/>
  <c r="BD129" i="20"/>
  <c r="BE129" i="20"/>
  <c r="BF129" i="20"/>
  <c r="BG129" i="20"/>
  <c r="BH129" i="20"/>
  <c r="BK129" i="20"/>
  <c r="BL129" i="20"/>
  <c r="BN129" i="20" s="1"/>
  <c r="BS129" i="20"/>
  <c r="BT129" i="20"/>
  <c r="D130" i="20"/>
  <c r="E130" i="20" s="1"/>
  <c r="K130" i="20"/>
  <c r="U130" i="20"/>
  <c r="AB130" i="20"/>
  <c r="BS130" i="20"/>
  <c r="BT130" i="20"/>
  <c r="D131" i="20"/>
  <c r="E131" i="20" s="1"/>
  <c r="K131" i="20"/>
  <c r="H132" i="54" s="1"/>
  <c r="P132" i="54" s="1"/>
  <c r="Q132" i="54" s="1"/>
  <c r="U131" i="20"/>
  <c r="AB131" i="20"/>
  <c r="AE131" i="20"/>
  <c r="BO131" i="20" s="1"/>
  <c r="AF131" i="20"/>
  <c r="AI131" i="20"/>
  <c r="AJ131" i="20"/>
  <c r="AP131" i="20"/>
  <c r="AR131" i="20"/>
  <c r="AV131" i="20"/>
  <c r="AW131" i="20"/>
  <c r="AX131" i="20"/>
  <c r="AY131" i="20"/>
  <c r="AZ131" i="20"/>
  <c r="BA131" i="20"/>
  <c r="BB131" i="20"/>
  <c r="BD131" i="20"/>
  <c r="BE131" i="20"/>
  <c r="BF131" i="20"/>
  <c r="BG131" i="20"/>
  <c r="BH131" i="20"/>
  <c r="BK131" i="20"/>
  <c r="BL131" i="20"/>
  <c r="BN131" i="20" s="1"/>
  <c r="BS131" i="20"/>
  <c r="BT131" i="20"/>
  <c r="AK132" i="20"/>
  <c r="AL132" i="20"/>
  <c r="AM132" i="20"/>
  <c r="AN132" i="20"/>
  <c r="AQ132" i="20"/>
  <c r="AS132" i="20"/>
  <c r="BP132" i="20"/>
  <c r="BT132" i="20"/>
  <c r="D133" i="20"/>
  <c r="E133" i="20" s="1"/>
  <c r="K133" i="20"/>
  <c r="AB133" i="20"/>
  <c r="AI133" i="20"/>
  <c r="BS133" i="20"/>
  <c r="BT133" i="20"/>
  <c r="D134" i="20"/>
  <c r="E134" i="20" s="1"/>
  <c r="K134" i="20"/>
  <c r="AI134" i="20" s="1"/>
  <c r="AB134" i="20"/>
  <c r="BS134" i="20"/>
  <c r="BT134" i="20"/>
  <c r="BT135" i="20" s="1"/>
  <c r="AK135" i="20"/>
  <c r="AL135" i="20"/>
  <c r="AM135" i="20"/>
  <c r="AN135" i="20"/>
  <c r="AQ135" i="20"/>
  <c r="AS135" i="20"/>
  <c r="BP135" i="20"/>
  <c r="BS135" i="20"/>
  <c r="D136" i="20"/>
  <c r="E136" i="20" s="1"/>
  <c r="K136" i="20"/>
  <c r="AB136" i="20"/>
  <c r="BS136" i="20"/>
  <c r="BT136" i="20"/>
  <c r="D137" i="20"/>
  <c r="E137" i="20" s="1"/>
  <c r="K137" i="20"/>
  <c r="AB137" i="20"/>
  <c r="BS137" i="20"/>
  <c r="BT137" i="20"/>
  <c r="D138" i="20"/>
  <c r="E138" i="20" s="1"/>
  <c r="K138" i="20"/>
  <c r="AB138" i="20"/>
  <c r="AI138" i="20"/>
  <c r="BS138" i="20"/>
  <c r="BT138" i="20"/>
  <c r="D139" i="20"/>
  <c r="E139" i="20" s="1"/>
  <c r="K139" i="20"/>
  <c r="AI139" i="20" s="1"/>
  <c r="AB139" i="20"/>
  <c r="BS139" i="20"/>
  <c r="BT139" i="20"/>
  <c r="AK140" i="20"/>
  <c r="AL140" i="20"/>
  <c r="AM140" i="20"/>
  <c r="AN140" i="20"/>
  <c r="AQ140" i="20"/>
  <c r="AS140" i="20"/>
  <c r="BP140" i="20"/>
  <c r="BS140" i="20"/>
  <c r="D141" i="20"/>
  <c r="E141" i="20" s="1"/>
  <c r="K141" i="20"/>
  <c r="AB141" i="20"/>
  <c r="BS141" i="20"/>
  <c r="BT141" i="20"/>
  <c r="D142" i="20"/>
  <c r="E142" i="20" s="1"/>
  <c r="K142" i="20"/>
  <c r="U142" i="20" s="1"/>
  <c r="AB142" i="20"/>
  <c r="BS142" i="20"/>
  <c r="BT142" i="20"/>
  <c r="D143" i="20"/>
  <c r="E143" i="20" s="1"/>
  <c r="K143" i="20"/>
  <c r="AB143" i="20"/>
  <c r="AR143" i="20"/>
  <c r="BS143" i="20"/>
  <c r="BT143" i="20"/>
  <c r="D144" i="20"/>
  <c r="E144" i="20" s="1"/>
  <c r="K144" i="20"/>
  <c r="AI144" i="20" s="1"/>
  <c r="AB144" i="20"/>
  <c r="BS144" i="20"/>
  <c r="BT144" i="20"/>
  <c r="D145" i="20"/>
  <c r="E145" i="20" s="1"/>
  <c r="K145" i="20"/>
  <c r="AB145" i="20"/>
  <c r="BS145" i="20"/>
  <c r="BT145" i="20"/>
  <c r="D146" i="20"/>
  <c r="E146" i="20" s="1"/>
  <c r="K146" i="20"/>
  <c r="U146" i="20" s="1"/>
  <c r="S146" i="20"/>
  <c r="AB146" i="20"/>
  <c r="AI146" i="20"/>
  <c r="BS146" i="20"/>
  <c r="BT146" i="20"/>
  <c r="AK147" i="20"/>
  <c r="AL147" i="20"/>
  <c r="AM147" i="20"/>
  <c r="AN147" i="20"/>
  <c r="AQ147" i="20"/>
  <c r="AS147" i="20"/>
  <c r="BP147" i="20"/>
  <c r="D148" i="20"/>
  <c r="E148" i="20" s="1"/>
  <c r="K148" i="20"/>
  <c r="AB148" i="20"/>
  <c r="BS148" i="20"/>
  <c r="BS149" i="20" s="1"/>
  <c r="BT148" i="20"/>
  <c r="AK149" i="20"/>
  <c r="AL149" i="20"/>
  <c r="AM149" i="20"/>
  <c r="AN149" i="20"/>
  <c r="AQ149" i="20"/>
  <c r="AS149" i="20"/>
  <c r="BP149" i="20"/>
  <c r="BT149" i="20"/>
  <c r="D150" i="20"/>
  <c r="E150" i="20" s="1"/>
  <c r="K150" i="20"/>
  <c r="H151" i="54" s="1"/>
  <c r="R150" i="20"/>
  <c r="AB150" i="20"/>
  <c r="AP150" i="20"/>
  <c r="BS150" i="20"/>
  <c r="BS152" i="20" s="1"/>
  <c r="BT150" i="20"/>
  <c r="D151" i="20"/>
  <c r="E151" i="20" s="1"/>
  <c r="K151" i="20"/>
  <c r="S151" i="20" s="1"/>
  <c r="AB151" i="20"/>
  <c r="BS151" i="20"/>
  <c r="BT151" i="20"/>
  <c r="AK152" i="20"/>
  <c r="AL152" i="20"/>
  <c r="AM152" i="20"/>
  <c r="AN152" i="20"/>
  <c r="AQ152" i="20"/>
  <c r="AS152" i="20"/>
  <c r="BP152" i="20"/>
  <c r="D153" i="20"/>
  <c r="E153" i="20" s="1"/>
  <c r="K153" i="20"/>
  <c r="AB153" i="20"/>
  <c r="BS153" i="20"/>
  <c r="BT153" i="20"/>
  <c r="D154" i="20"/>
  <c r="E154" i="20" s="1"/>
  <c r="K154" i="20"/>
  <c r="AB154" i="20"/>
  <c r="BS154" i="20"/>
  <c r="BT154" i="20"/>
  <c r="AK155" i="20"/>
  <c r="AL155" i="20"/>
  <c r="AM155" i="20"/>
  <c r="AN155" i="20"/>
  <c r="AQ155" i="20"/>
  <c r="AS155" i="20"/>
  <c r="BP155" i="20"/>
  <c r="BT155" i="20"/>
  <c r="M31" i="54" l="1"/>
  <c r="M116" i="54"/>
  <c r="X116" i="54" s="1"/>
  <c r="M155" i="54"/>
  <c r="X155" i="54" s="1"/>
  <c r="M144" i="54"/>
  <c r="BT140" i="20"/>
  <c r="BT100" i="20"/>
  <c r="BT76" i="20"/>
  <c r="BS76" i="20"/>
  <c r="BS155" i="20"/>
  <c r="BS116" i="20"/>
  <c r="BS124" i="20"/>
  <c r="X50" i="20"/>
  <c r="X54" i="20"/>
  <c r="X47" i="20"/>
  <c r="X48" i="20"/>
  <c r="X46" i="20"/>
  <c r="X55" i="20"/>
  <c r="X56" i="20"/>
  <c r="X57" i="20"/>
  <c r="X58" i="20"/>
  <c r="X96" i="20"/>
  <c r="T83" i="20"/>
  <c r="X79" i="20"/>
  <c r="S37" i="20"/>
  <c r="S25" i="20"/>
  <c r="N41" i="77"/>
  <c r="S64" i="20"/>
  <c r="S45" i="20"/>
  <c r="S41" i="20"/>
  <c r="S35" i="20"/>
  <c r="W19" i="20"/>
  <c r="N37" i="77"/>
  <c r="M36" i="77"/>
  <c r="W131" i="20" s="1"/>
  <c r="M34" i="77"/>
  <c r="W123" i="20" s="1"/>
  <c r="N33" i="77"/>
  <c r="N17" i="77"/>
  <c r="M12" i="77"/>
  <c r="W71" i="20" s="1"/>
  <c r="N9" i="77"/>
  <c r="X64" i="20" s="1"/>
  <c r="N5" i="77"/>
  <c r="S55" i="20"/>
  <c r="S46" i="20"/>
  <c r="S33" i="20"/>
  <c r="S22" i="20"/>
  <c r="M16" i="77"/>
  <c r="W81" i="20" s="1"/>
  <c r="N15" i="77"/>
  <c r="M14" i="77"/>
  <c r="W77" i="20" s="1"/>
  <c r="M8" i="77"/>
  <c r="M6" i="77"/>
  <c r="W49" i="20" s="1"/>
  <c r="N4" i="77"/>
  <c r="X15" i="20" s="1"/>
  <c r="AR124" i="20"/>
  <c r="AI127" i="20"/>
  <c r="AT71" i="20"/>
  <c r="AT131" i="20"/>
  <c r="AT129" i="20"/>
  <c r="AT55" i="20"/>
  <c r="AT62" i="20"/>
  <c r="J69" i="54"/>
  <c r="M69" i="54" s="1"/>
  <c r="X69" i="54" s="1"/>
  <c r="Y69" i="54" s="1"/>
  <c r="AH68" i="20" s="1"/>
  <c r="AF65" i="20"/>
  <c r="BI49" i="20"/>
  <c r="BI45" i="20"/>
  <c r="BI27" i="20"/>
  <c r="BC131" i="20"/>
  <c r="BC129" i="20"/>
  <c r="AT98" i="20"/>
  <c r="AF86" i="20"/>
  <c r="BC71" i="20"/>
  <c r="AP65" i="20"/>
  <c r="AT64" i="20"/>
  <c r="AT65" i="20" s="1"/>
  <c r="AT49" i="20"/>
  <c r="AT45" i="20"/>
  <c r="AT27" i="20"/>
  <c r="BM131" i="20"/>
  <c r="BQ131" i="20" s="1"/>
  <c r="BZ131" i="20" s="1"/>
  <c r="BM129" i="20"/>
  <c r="BQ129" i="20" s="1"/>
  <c r="J102" i="54"/>
  <c r="M102" i="54" s="1"/>
  <c r="AF78" i="20"/>
  <c r="BM71" i="20"/>
  <c r="BQ71" i="20" s="1"/>
  <c r="AP67" i="20"/>
  <c r="BC49" i="20"/>
  <c r="BC45" i="20"/>
  <c r="BC27" i="20"/>
  <c r="BM21" i="20"/>
  <c r="BI131" i="20"/>
  <c r="BI129" i="20"/>
  <c r="AT81" i="20"/>
  <c r="BI71" i="20"/>
  <c r="J65" i="54"/>
  <c r="M65" i="54" s="1"/>
  <c r="AT46" i="20"/>
  <c r="V91" i="20"/>
  <c r="X83" i="20"/>
  <c r="N10" i="77"/>
  <c r="M10" i="77"/>
  <c r="BK41" i="25"/>
  <c r="V70" i="54"/>
  <c r="W70" i="54" s="1"/>
  <c r="V152" i="54"/>
  <c r="W152" i="54" s="1"/>
  <c r="V14" i="54"/>
  <c r="V88" i="54"/>
  <c r="W88" i="54" s="1"/>
  <c r="V92" i="54"/>
  <c r="W92" i="54" s="1"/>
  <c r="V99" i="54"/>
  <c r="V119" i="54"/>
  <c r="V113" i="54"/>
  <c r="V127" i="54"/>
  <c r="W127" i="54" s="1"/>
  <c r="X127" i="54" s="1"/>
  <c r="Y127" i="54" s="1"/>
  <c r="AH126" i="20" s="1"/>
  <c r="V151" i="54"/>
  <c r="V150" i="20"/>
  <c r="AI135" i="20"/>
  <c r="V83" i="20"/>
  <c r="S53" i="20"/>
  <c r="AR53" i="20"/>
  <c r="AT53" i="20" s="1"/>
  <c r="U53" i="20"/>
  <c r="AF53" i="20"/>
  <c r="M19" i="77"/>
  <c r="N19" i="77"/>
  <c r="BL23" i="25"/>
  <c r="BM23" i="25" s="1"/>
  <c r="AT41" i="25"/>
  <c r="P41" i="25"/>
  <c r="V62" i="54"/>
  <c r="U150" i="20"/>
  <c r="W146" i="20"/>
  <c r="U143" i="20"/>
  <c r="AR139" i="20"/>
  <c r="H110" i="54"/>
  <c r="P110" i="54" s="1"/>
  <c r="Q110" i="54" s="1"/>
  <c r="R109" i="20"/>
  <c r="V109" i="20"/>
  <c r="AF109" i="20"/>
  <c r="AR109" i="20"/>
  <c r="AT109" i="20" s="1"/>
  <c r="V107" i="20"/>
  <c r="BT110" i="20"/>
  <c r="AR91" i="20"/>
  <c r="X91" i="20"/>
  <c r="X89" i="20"/>
  <c r="X87" i="20"/>
  <c r="AR87" i="20"/>
  <c r="AR88" i="20" s="1"/>
  <c r="AF83" i="20"/>
  <c r="AN156" i="20"/>
  <c r="AQ156" i="20"/>
  <c r="AF61" i="20"/>
  <c r="T58" i="20"/>
  <c r="AI58" i="20"/>
  <c r="V58" i="20"/>
  <c r="AJ58" i="20"/>
  <c r="H58" i="54"/>
  <c r="P58" i="54" s="1"/>
  <c r="Q58" i="54" s="1"/>
  <c r="R58" i="54" s="1"/>
  <c r="S58" i="54" s="1"/>
  <c r="AG57" i="20" s="1"/>
  <c r="T57" i="20"/>
  <c r="AI57" i="20"/>
  <c r="V57" i="20"/>
  <c r="AJ57" i="20"/>
  <c r="U56" i="20"/>
  <c r="AF56" i="20"/>
  <c r="V56" i="20"/>
  <c r="AJ56" i="20"/>
  <c r="H43" i="54"/>
  <c r="P43" i="54" s="1"/>
  <c r="Q43" i="54" s="1"/>
  <c r="S42" i="20"/>
  <c r="AI41" i="20"/>
  <c r="BI56" i="11"/>
  <c r="BN56" i="11" s="1"/>
  <c r="BO56" i="11" s="1"/>
  <c r="BE23" i="11"/>
  <c r="AI13" i="19"/>
  <c r="AS13" i="19" s="1"/>
  <c r="AU13" i="19" s="1"/>
  <c r="BG47" i="11"/>
  <c r="BI47" i="11" s="1"/>
  <c r="BN47" i="11" s="1"/>
  <c r="BO47" i="11" s="1"/>
  <c r="AI7" i="19"/>
  <c r="AS7" i="19" s="1"/>
  <c r="AU7" i="19" s="1"/>
  <c r="BG29" i="11"/>
  <c r="BI29" i="11" s="1"/>
  <c r="BG26" i="11"/>
  <c r="BI26" i="11" s="1"/>
  <c r="AI5" i="19"/>
  <c r="AS5" i="19" s="1"/>
  <c r="AU5" i="19" s="1"/>
  <c r="N26" i="77"/>
  <c r="X104" i="20" s="1"/>
  <c r="M26" i="77"/>
  <c r="BL34" i="25"/>
  <c r="BM34" i="25" s="1"/>
  <c r="BL29" i="25"/>
  <c r="BM29" i="25" s="1"/>
  <c r="BL18" i="25"/>
  <c r="BM18" i="25" s="1"/>
  <c r="BL13" i="25"/>
  <c r="BM13" i="25" s="1"/>
  <c r="H116" i="54"/>
  <c r="P116" i="54" s="1"/>
  <c r="Q116" i="54" s="1"/>
  <c r="R116" i="54" s="1"/>
  <c r="S116" i="54" s="1"/>
  <c r="AG115" i="20" s="1"/>
  <c r="AI115" i="20"/>
  <c r="AJ107" i="20"/>
  <c r="H92" i="54"/>
  <c r="P92" i="54" s="1"/>
  <c r="Q92" i="54" s="1"/>
  <c r="U91" i="20"/>
  <c r="AP91" i="20"/>
  <c r="R83" i="20"/>
  <c r="W83" i="20"/>
  <c r="AI83" i="20"/>
  <c r="AI84" i="20" s="1"/>
  <c r="AK156" i="20"/>
  <c r="BN101" i="11"/>
  <c r="BO101" i="11" s="1"/>
  <c r="BI99" i="11"/>
  <c r="BN99" i="11" s="1"/>
  <c r="BO99" i="11" s="1"/>
  <c r="M39" i="77"/>
  <c r="W136" i="20" s="1"/>
  <c r="N39" i="77"/>
  <c r="X136" i="20" s="1"/>
  <c r="N18" i="77"/>
  <c r="X85" i="20" s="1"/>
  <c r="M18" i="77"/>
  <c r="M3" i="77"/>
  <c r="W13" i="20" s="1"/>
  <c r="N3" i="77"/>
  <c r="N41" i="25"/>
  <c r="AJ150" i="20"/>
  <c r="BS121" i="20"/>
  <c r="AF91" i="20"/>
  <c r="T91" i="20"/>
  <c r="V85" i="20"/>
  <c r="AJ85" i="20"/>
  <c r="AJ86" i="20" s="1"/>
  <c r="AP83" i="20"/>
  <c r="BS70" i="20"/>
  <c r="R62" i="20"/>
  <c r="S62" i="20"/>
  <c r="AI62" i="20"/>
  <c r="AJ61" i="20"/>
  <c r="T55" i="20"/>
  <c r="AI53" i="20"/>
  <c r="T52" i="20"/>
  <c r="AI52" i="20"/>
  <c r="V52" i="20"/>
  <c r="AJ52" i="20"/>
  <c r="T46" i="20"/>
  <c r="BN95" i="11"/>
  <c r="BO95" i="11" s="1"/>
  <c r="M11" i="77"/>
  <c r="W68" i="20" s="1"/>
  <c r="N11" i="77"/>
  <c r="BL39" i="25"/>
  <c r="BM39" i="25" s="1"/>
  <c r="BL28" i="25"/>
  <c r="BM28" i="25" s="1"/>
  <c r="AY41" i="25"/>
  <c r="BL12" i="25"/>
  <c r="BM12" i="25" s="1"/>
  <c r="BL9" i="25"/>
  <c r="BC41" i="25"/>
  <c r="AG41" i="25"/>
  <c r="V155" i="54"/>
  <c r="W155" i="54" s="1"/>
  <c r="V116" i="54"/>
  <c r="V69" i="54"/>
  <c r="W69" i="54" s="1"/>
  <c r="U153" i="20"/>
  <c r="AI150" i="20"/>
  <c r="P151" i="54"/>
  <c r="Q151" i="54" s="1"/>
  <c r="AR134" i="20"/>
  <c r="AI123" i="20"/>
  <c r="AI122" i="20"/>
  <c r="AR117" i="20"/>
  <c r="AR121" i="20" s="1"/>
  <c r="T150" i="20"/>
  <c r="AR146" i="20"/>
  <c r="BT147" i="20"/>
  <c r="AI143" i="20"/>
  <c r="AI120" i="20"/>
  <c r="AI119" i="20"/>
  <c r="AI118" i="20"/>
  <c r="AI117" i="20"/>
  <c r="U115" i="20"/>
  <c r="H115" i="54"/>
  <c r="P115" i="54" s="1"/>
  <c r="Q115" i="54" s="1"/>
  <c r="AI114" i="20"/>
  <c r="S113" i="20"/>
  <c r="AJ113" i="20"/>
  <c r="AI112" i="20"/>
  <c r="AI109" i="20"/>
  <c r="U109" i="20"/>
  <c r="R108" i="20"/>
  <c r="AP108" i="20"/>
  <c r="AT108" i="20" s="1"/>
  <c r="AP107" i="20"/>
  <c r="R107" i="20"/>
  <c r="H102" i="54"/>
  <c r="P102" i="54" s="1"/>
  <c r="Q102" i="54" s="1"/>
  <c r="S101" i="20"/>
  <c r="X101" i="20"/>
  <c r="AR101" i="20"/>
  <c r="AT101" i="20" s="1"/>
  <c r="BS100" i="20"/>
  <c r="AJ91" i="20"/>
  <c r="AJ92" i="20" s="1"/>
  <c r="W91" i="20"/>
  <c r="R91" i="20"/>
  <c r="W87" i="20"/>
  <c r="AP85" i="20"/>
  <c r="T85" i="20"/>
  <c r="S83" i="20"/>
  <c r="X80" i="20"/>
  <c r="T77" i="20"/>
  <c r="V77" i="20"/>
  <c r="AJ77" i="20"/>
  <c r="AJ78" i="20" s="1"/>
  <c r="X77" i="20"/>
  <c r="W62" i="20"/>
  <c r="T61" i="20"/>
  <c r="V53" i="20"/>
  <c r="X52" i="20"/>
  <c r="AF41" i="20"/>
  <c r="U27" i="20"/>
  <c r="V27" i="20"/>
  <c r="S24" i="20"/>
  <c r="AR24" i="20"/>
  <c r="V24" i="20"/>
  <c r="AB11" i="20"/>
  <c r="AB15" i="20"/>
  <c r="AB29" i="20"/>
  <c r="AB32" i="20"/>
  <c r="AB33" i="20"/>
  <c r="AB34" i="20"/>
  <c r="AB38" i="20"/>
  <c r="AB39" i="20"/>
  <c r="AB43" i="20"/>
  <c r="AB46" i="20"/>
  <c r="AB47" i="20"/>
  <c r="AB50" i="20"/>
  <c r="AB51" i="20"/>
  <c r="AB53" i="20"/>
  <c r="AB62" i="20"/>
  <c r="AB68" i="20"/>
  <c r="AB73" i="20"/>
  <c r="AB80" i="20"/>
  <c r="AB91" i="20"/>
  <c r="AB94" i="20"/>
  <c r="AB97" i="20"/>
  <c r="AB98" i="20"/>
  <c r="AB117" i="20"/>
  <c r="AB13" i="20"/>
  <c r="AB17" i="20"/>
  <c r="AB19" i="20"/>
  <c r="AB41" i="20"/>
  <c r="AB42" i="20"/>
  <c r="AB44" i="20"/>
  <c r="AB59" i="20"/>
  <c r="AB61" i="20"/>
  <c r="AB64" i="20"/>
  <c r="AB79" i="20"/>
  <c r="BE93" i="11"/>
  <c r="BN93" i="11" s="1"/>
  <c r="BO93" i="11" s="1"/>
  <c r="BO79" i="11"/>
  <c r="BE75" i="11"/>
  <c r="BN75" i="11" s="1"/>
  <c r="BO75" i="11" s="1"/>
  <c r="BN29" i="11"/>
  <c r="BO29" i="11" s="1"/>
  <c r="BE26" i="11"/>
  <c r="BN26" i="11" s="1"/>
  <c r="BO26" i="11" s="1"/>
  <c r="BI23" i="11"/>
  <c r="BO3" i="11"/>
  <c r="BA105" i="11"/>
  <c r="AS29" i="19"/>
  <c r="AU29" i="19" s="1"/>
  <c r="AI22" i="19"/>
  <c r="AS22" i="19" s="1"/>
  <c r="AU22" i="19" s="1"/>
  <c r="AI2" i="19"/>
  <c r="N38" i="77"/>
  <c r="M38" i="77"/>
  <c r="W134" i="20" s="1"/>
  <c r="M32" i="77"/>
  <c r="W118" i="20" s="1"/>
  <c r="N32" i="77"/>
  <c r="M27" i="77"/>
  <c r="N27" i="77"/>
  <c r="X106" i="20" s="1"/>
  <c r="X11" i="20"/>
  <c r="M2" i="77"/>
  <c r="W11" i="20" s="1"/>
  <c r="BL38" i="25"/>
  <c r="BM38" i="25" s="1"/>
  <c r="BL35" i="25"/>
  <c r="BM35" i="25" s="1"/>
  <c r="BL22" i="25"/>
  <c r="BM22" i="25" s="1"/>
  <c r="BL19" i="25"/>
  <c r="BM19" i="25" s="1"/>
  <c r="S69" i="20"/>
  <c r="BT63" i="20"/>
  <c r="BE100" i="11"/>
  <c r="BN100" i="11" s="1"/>
  <c r="BO100" i="11" s="1"/>
  <c r="BE84" i="11"/>
  <c r="BN84" i="11" s="1"/>
  <c r="BO84" i="11" s="1"/>
  <c r="BI68" i="11"/>
  <c r="BN68" i="11" s="1"/>
  <c r="BO68" i="11" s="1"/>
  <c r="BE40" i="11"/>
  <c r="BN40" i="11" s="1"/>
  <c r="BO40" i="11" s="1"/>
  <c r="BO2" i="11"/>
  <c r="BC50" i="11"/>
  <c r="BE50" i="11" s="1"/>
  <c r="BN50" i="11" s="1"/>
  <c r="BO50" i="11" s="1"/>
  <c r="AB14" i="19"/>
  <c r="AS14" i="19" s="1"/>
  <c r="AU14" i="19" s="1"/>
  <c r="AB5" i="19"/>
  <c r="BC26" i="11"/>
  <c r="J40" i="77"/>
  <c r="M40" i="77"/>
  <c r="W139" i="20" s="1"/>
  <c r="N40" i="77"/>
  <c r="X138" i="20" s="1"/>
  <c r="N30" i="77"/>
  <c r="X113" i="20" s="1"/>
  <c r="M30" i="77"/>
  <c r="W113" i="20" s="1"/>
  <c r="J28" i="77"/>
  <c r="N28" i="77"/>
  <c r="X109" i="20" s="1"/>
  <c r="BL36" i="25"/>
  <c r="BM36" i="25" s="1"/>
  <c r="BL26" i="25"/>
  <c r="BM26" i="25" s="1"/>
  <c r="BL20" i="25"/>
  <c r="BM20" i="25" s="1"/>
  <c r="BL10" i="25"/>
  <c r="BM10" i="25" s="1"/>
  <c r="L41" i="25"/>
  <c r="V145" i="54"/>
  <c r="V108" i="54"/>
  <c r="V84" i="54"/>
  <c r="AJ81" i="20"/>
  <c r="X81" i="20"/>
  <c r="T81" i="20"/>
  <c r="BT82" i="20"/>
  <c r="BL49" i="20"/>
  <c r="BN49" i="20" s="1"/>
  <c r="BK45" i="20"/>
  <c r="X45" i="20"/>
  <c r="T45" i="20"/>
  <c r="AF35" i="20"/>
  <c r="W17" i="20"/>
  <c r="S13" i="20"/>
  <c r="X13" i="20"/>
  <c r="AP13" i="20"/>
  <c r="BO98" i="11"/>
  <c r="BO82" i="11"/>
  <c r="BC63" i="11"/>
  <c r="BE63" i="11" s="1"/>
  <c r="BN63" i="11" s="1"/>
  <c r="BO63" i="11" s="1"/>
  <c r="BE28" i="11"/>
  <c r="BE24" i="11"/>
  <c r="BN24" i="11" s="1"/>
  <c r="BO24" i="11" s="1"/>
  <c r="AI27" i="19"/>
  <c r="AS27" i="19" s="1"/>
  <c r="AU27" i="19" s="1"/>
  <c r="BG94" i="11"/>
  <c r="BI94" i="11" s="1"/>
  <c r="BN94" i="11" s="1"/>
  <c r="BO94" i="11" s="1"/>
  <c r="AS18" i="19"/>
  <c r="AU18" i="19" s="1"/>
  <c r="AS6" i="19"/>
  <c r="AU6" i="19" s="1"/>
  <c r="J31" i="77"/>
  <c r="T115" i="20" s="1"/>
  <c r="N31" i="77"/>
  <c r="X114" i="20" s="1"/>
  <c r="BL37" i="25"/>
  <c r="BM37" i="25" s="1"/>
  <c r="BL31" i="25"/>
  <c r="BM31" i="25" s="1"/>
  <c r="BL21" i="25"/>
  <c r="BM21" i="25" s="1"/>
  <c r="BL15" i="25"/>
  <c r="BM15" i="25" s="1"/>
  <c r="S41" i="25"/>
  <c r="M35" i="77"/>
  <c r="W126" i="20" s="1"/>
  <c r="M23" i="77"/>
  <c r="W96" i="20" s="1"/>
  <c r="M7" i="77"/>
  <c r="W53" i="20" s="1"/>
  <c r="E35" i="30"/>
  <c r="E31" i="30"/>
  <c r="E27" i="30"/>
  <c r="E23" i="30"/>
  <c r="E19" i="30"/>
  <c r="E15" i="30"/>
  <c r="E11" i="30"/>
  <c r="BI41" i="25"/>
  <c r="AK41" i="25"/>
  <c r="BI72" i="11"/>
  <c r="BN72" i="11" s="1"/>
  <c r="BO72" i="11" s="1"/>
  <c r="BI64" i="11"/>
  <c r="BN64" i="11" s="1"/>
  <c r="BO64" i="11" s="1"/>
  <c r="BO54" i="11"/>
  <c r="BO46" i="11"/>
  <c r="BE44" i="11"/>
  <c r="BN44" i="11" s="1"/>
  <c r="BO44" i="11" s="1"/>
  <c r="BO30" i="11"/>
  <c r="BI28" i="11"/>
  <c r="BO22" i="11"/>
  <c r="BO6" i="11"/>
  <c r="AS2" i="19"/>
  <c r="AU2" i="19" s="1"/>
  <c r="E32" i="30"/>
  <c r="E28" i="30"/>
  <c r="E24" i="30"/>
  <c r="E20" i="30"/>
  <c r="E16" i="30"/>
  <c r="E12" i="30"/>
  <c r="BA41" i="25"/>
  <c r="BE41" i="25"/>
  <c r="V143" i="54"/>
  <c r="W143" i="54" s="1"/>
  <c r="V130" i="54"/>
  <c r="W130" i="54" s="1"/>
  <c r="V80" i="54"/>
  <c r="V78" i="54"/>
  <c r="V146" i="54"/>
  <c r="V142" i="54"/>
  <c r="V139" i="54"/>
  <c r="V129" i="54"/>
  <c r="V126" i="54"/>
  <c r="W126" i="54" s="1"/>
  <c r="V107" i="54"/>
  <c r="V105" i="54"/>
  <c r="V103" i="54"/>
  <c r="V76" i="54"/>
  <c r="W76" i="54" s="1"/>
  <c r="W38" i="54"/>
  <c r="W21" i="54"/>
  <c r="V144" i="54"/>
  <c r="W144" i="54" s="1"/>
  <c r="M142" i="54"/>
  <c r="V132" i="54"/>
  <c r="W132" i="54" s="1"/>
  <c r="V98" i="54"/>
  <c r="V74" i="54"/>
  <c r="V149" i="54"/>
  <c r="W149" i="54" s="1"/>
  <c r="V147" i="54"/>
  <c r="V140" i="54"/>
  <c r="M139" i="54"/>
  <c r="V123" i="54"/>
  <c r="V115" i="54"/>
  <c r="W115" i="54" s="1"/>
  <c r="V114" i="54"/>
  <c r="V112" i="54"/>
  <c r="V109" i="54"/>
  <c r="M95" i="54"/>
  <c r="V86" i="54"/>
  <c r="V81" i="54"/>
  <c r="M75" i="54"/>
  <c r="V75" i="54"/>
  <c r="M73" i="54"/>
  <c r="V67" i="54"/>
  <c r="W56" i="54"/>
  <c r="W28" i="54"/>
  <c r="M146" i="54"/>
  <c r="V137" i="54"/>
  <c r="V135" i="54"/>
  <c r="W135" i="54" s="1"/>
  <c r="V134" i="54"/>
  <c r="W134" i="54" s="1"/>
  <c r="V124" i="54"/>
  <c r="V121" i="54"/>
  <c r="V110" i="54"/>
  <c r="V94" i="54"/>
  <c r="W94" i="54" s="1"/>
  <c r="V90" i="54"/>
  <c r="V82" i="54"/>
  <c r="V65" i="54"/>
  <c r="W65" i="54" s="1"/>
  <c r="V63" i="54"/>
  <c r="M60" i="54"/>
  <c r="M38" i="54"/>
  <c r="X38" i="54" s="1"/>
  <c r="Y38" i="54" s="1"/>
  <c r="AH37" i="20" s="1"/>
  <c r="M37" i="54"/>
  <c r="M27" i="54"/>
  <c r="X27" i="54" s="1"/>
  <c r="Y27" i="54" s="1"/>
  <c r="AH26" i="20" s="1"/>
  <c r="V16" i="54"/>
  <c r="M154" i="54"/>
  <c r="V154" i="54"/>
  <c r="W154" i="54" s="1"/>
  <c r="M140" i="54"/>
  <c r="V138" i="54"/>
  <c r="V131" i="54"/>
  <c r="V120" i="54"/>
  <c r="W120" i="54" s="1"/>
  <c r="V118" i="54"/>
  <c r="W118" i="54" s="1"/>
  <c r="V102" i="54"/>
  <c r="M100" i="54"/>
  <c r="V100" i="54"/>
  <c r="W100" i="54" s="1"/>
  <c r="M99" i="54"/>
  <c r="M97" i="54"/>
  <c r="V97" i="54"/>
  <c r="V95" i="54"/>
  <c r="V73" i="54"/>
  <c r="V72" i="54"/>
  <c r="W72" i="54" s="1"/>
  <c r="M63" i="54"/>
  <c r="M45" i="54"/>
  <c r="M41" i="54"/>
  <c r="M30" i="54"/>
  <c r="W23" i="54"/>
  <c r="AD108" i="23"/>
  <c r="AE108" i="23" s="1"/>
  <c r="AD100" i="23"/>
  <c r="AE100" i="23" s="1"/>
  <c r="AD92" i="23"/>
  <c r="AD76" i="23"/>
  <c r="AE76" i="23" s="1"/>
  <c r="AD60" i="23"/>
  <c r="AE60" i="23" s="1"/>
  <c r="AD44" i="23"/>
  <c r="AE44" i="23" s="1"/>
  <c r="AD28" i="23"/>
  <c r="AN117" i="23"/>
  <c r="AO117" i="23" s="1"/>
  <c r="AN93" i="23"/>
  <c r="AO93" i="23" s="1"/>
  <c r="AP93" i="23" s="1"/>
  <c r="AN85" i="23"/>
  <c r="AO85" i="23" s="1"/>
  <c r="AN69" i="23"/>
  <c r="AO69" i="23" s="1"/>
  <c r="AN53" i="23"/>
  <c r="AN29" i="23"/>
  <c r="AO29" i="23" s="1"/>
  <c r="AP29" i="23" s="1"/>
  <c r="AN13" i="23"/>
  <c r="AX118" i="23"/>
  <c r="AY118" i="23" s="1"/>
  <c r="AX112" i="23"/>
  <c r="AY112" i="23" s="1"/>
  <c r="AX110" i="23"/>
  <c r="AY110" i="23" s="1"/>
  <c r="AX108" i="23"/>
  <c r="AY108" i="23" s="1"/>
  <c r="AZ108" i="23" s="1"/>
  <c r="AX102" i="23"/>
  <c r="AY102" i="23" s="1"/>
  <c r="AZ102" i="23" s="1"/>
  <c r="AX100" i="23"/>
  <c r="AX98" i="23"/>
  <c r="AY98" i="23" s="1"/>
  <c r="AX96" i="23"/>
  <c r="AY96" i="23" s="1"/>
  <c r="AZ96" i="23" s="1"/>
  <c r="AX80" i="23"/>
  <c r="AY80" i="23" s="1"/>
  <c r="AX78" i="23"/>
  <c r="AY78" i="23" s="1"/>
  <c r="AZ78" i="23" s="1"/>
  <c r="AX76" i="23"/>
  <c r="AY76" i="23" s="1"/>
  <c r="AX74" i="23"/>
  <c r="AY74" i="23" s="1"/>
  <c r="AZ74" i="23" s="1"/>
  <c r="AX64" i="23"/>
  <c r="AY64" i="23" s="1"/>
  <c r="AX62" i="23"/>
  <c r="AY62" i="23" s="1"/>
  <c r="AX60" i="23"/>
  <c r="AX58" i="23"/>
  <c r="AY58" i="23" s="1"/>
  <c r="AZ58" i="23" s="1"/>
  <c r="AX48" i="23"/>
  <c r="AX46" i="23"/>
  <c r="AY46" i="23" s="1"/>
  <c r="AZ46" i="23" s="1"/>
  <c r="AX44" i="23"/>
  <c r="AY44" i="23" s="1"/>
  <c r="AX38" i="23"/>
  <c r="AX36" i="23"/>
  <c r="AY36" i="23" s="1"/>
  <c r="AZ36" i="23" s="1"/>
  <c r="AX34" i="23"/>
  <c r="AX32" i="23"/>
  <c r="AY32" i="23" s="1"/>
  <c r="AX22" i="23"/>
  <c r="AY22" i="23" s="1"/>
  <c r="AZ22" i="23" s="1"/>
  <c r="AX20" i="23"/>
  <c r="AY20" i="23" s="1"/>
  <c r="T148" i="20"/>
  <c r="V148" i="20"/>
  <c r="AJ148" i="20"/>
  <c r="AJ149" i="20" s="1"/>
  <c r="X148" i="20"/>
  <c r="H142" i="54"/>
  <c r="P142" i="54" s="1"/>
  <c r="Q142" i="54" s="1"/>
  <c r="U141" i="20"/>
  <c r="H137" i="54"/>
  <c r="P137" i="54" s="1"/>
  <c r="Q137" i="54" s="1"/>
  <c r="U136" i="20"/>
  <c r="BS132" i="20"/>
  <c r="H129" i="54"/>
  <c r="P129" i="54" s="1"/>
  <c r="Q129" i="54" s="1"/>
  <c r="AI128" i="20"/>
  <c r="BT127" i="20"/>
  <c r="H95" i="54"/>
  <c r="P95" i="54" s="1"/>
  <c r="Q95" i="54" s="1"/>
  <c r="U94" i="20"/>
  <c r="AF94" i="20"/>
  <c r="AF95" i="20" s="1"/>
  <c r="AR94" i="20"/>
  <c r="R94" i="20"/>
  <c r="T94" i="20"/>
  <c r="AI94" i="20"/>
  <c r="R26" i="20"/>
  <c r="W26" i="20"/>
  <c r="AR26" i="20"/>
  <c r="U26" i="20"/>
  <c r="AJ26" i="20"/>
  <c r="V26" i="20"/>
  <c r="H16" i="54"/>
  <c r="P16" i="54" s="1"/>
  <c r="Q16" i="54" s="1"/>
  <c r="R16" i="54" s="1"/>
  <c r="R15" i="20"/>
  <c r="V15" i="20"/>
  <c r="AF15" i="20"/>
  <c r="S15" i="20"/>
  <c r="AP15" i="20"/>
  <c r="U15" i="20"/>
  <c r="AJ15" i="20"/>
  <c r="AJ16" i="20" s="1"/>
  <c r="AI15" i="20"/>
  <c r="AI16" i="20" s="1"/>
  <c r="T15" i="20"/>
  <c r="AR15" i="20"/>
  <c r="AR16" i="20" s="1"/>
  <c r="W15" i="20"/>
  <c r="W53" i="54"/>
  <c r="W16" i="54"/>
  <c r="AF148" i="20"/>
  <c r="U145" i="20"/>
  <c r="AR145" i="20"/>
  <c r="W145" i="20"/>
  <c r="AR144" i="20"/>
  <c r="AR141" i="20"/>
  <c r="H138" i="54"/>
  <c r="P138" i="54" s="1"/>
  <c r="Q138" i="54" s="1"/>
  <c r="U137" i="20"/>
  <c r="AR136" i="20"/>
  <c r="H131" i="54"/>
  <c r="P131" i="54" s="1"/>
  <c r="Q131" i="54" s="1"/>
  <c r="R131" i="54" s="1"/>
  <c r="S131" i="54" s="1"/>
  <c r="AG130" i="20" s="1"/>
  <c r="AI130" i="20"/>
  <c r="AR128" i="20"/>
  <c r="BS127" i="20"/>
  <c r="H113" i="54"/>
  <c r="P113" i="54" s="1"/>
  <c r="Q113" i="54" s="1"/>
  <c r="T112" i="20"/>
  <c r="X112" i="20"/>
  <c r="AJ112" i="20"/>
  <c r="R112" i="20"/>
  <c r="W112" i="20"/>
  <c r="AP112" i="20"/>
  <c r="S112" i="20"/>
  <c r="AR112" i="20"/>
  <c r="H107" i="54"/>
  <c r="P107" i="54" s="1"/>
  <c r="Q107" i="54" s="1"/>
  <c r="R106" i="20"/>
  <c r="V106" i="20"/>
  <c r="AF106" i="20"/>
  <c r="AR106" i="20"/>
  <c r="S106" i="20"/>
  <c r="AP106" i="20"/>
  <c r="T106" i="20"/>
  <c r="H48" i="54"/>
  <c r="P48" i="54" s="1"/>
  <c r="Q48" i="54" s="1"/>
  <c r="S47" i="20"/>
  <c r="AI47" i="20"/>
  <c r="T47" i="20"/>
  <c r="AR47" i="20"/>
  <c r="R47" i="20"/>
  <c r="U47" i="20"/>
  <c r="AF47" i="20"/>
  <c r="V47" i="20"/>
  <c r="AJ47" i="20"/>
  <c r="V43" i="20"/>
  <c r="S43" i="20"/>
  <c r="AF43" i="20"/>
  <c r="M120" i="54"/>
  <c r="W31" i="54"/>
  <c r="AI145" i="20"/>
  <c r="BS147" i="20"/>
  <c r="AI141" i="20"/>
  <c r="H139" i="54"/>
  <c r="P139" i="54" s="1"/>
  <c r="Q139" i="54" s="1"/>
  <c r="R139" i="54" s="1"/>
  <c r="U138" i="20"/>
  <c r="AR137" i="20"/>
  <c r="AI136" i="20"/>
  <c r="H134" i="54"/>
  <c r="P134" i="54" s="1"/>
  <c r="Q134" i="54" s="1"/>
  <c r="U133" i="20"/>
  <c r="AR130" i="20"/>
  <c r="X94" i="20"/>
  <c r="T93" i="20"/>
  <c r="V93" i="20"/>
  <c r="AJ93" i="20"/>
  <c r="AJ95" i="20" s="1"/>
  <c r="R93" i="20"/>
  <c r="X93" i="20"/>
  <c r="T89" i="20"/>
  <c r="AP89" i="20"/>
  <c r="AR84" i="20"/>
  <c r="T66" i="20"/>
  <c r="X66" i="20"/>
  <c r="BP156" i="20"/>
  <c r="AP47" i="20"/>
  <c r="AI26" i="20"/>
  <c r="AS156" i="20"/>
  <c r="AL156" i="20"/>
  <c r="M108" i="54"/>
  <c r="BT152" i="20"/>
  <c r="R148" i="20"/>
  <c r="U144" i="20"/>
  <c r="AI142" i="20"/>
  <c r="H140" i="54"/>
  <c r="P140" i="54" s="1"/>
  <c r="Q140" i="54" s="1"/>
  <c r="U139" i="20"/>
  <c r="AR138" i="20"/>
  <c r="AI137" i="20"/>
  <c r="H135" i="54"/>
  <c r="P135" i="54" s="1"/>
  <c r="U134" i="20"/>
  <c r="AR133" i="20"/>
  <c r="U128" i="20"/>
  <c r="BT121" i="20"/>
  <c r="H114" i="54"/>
  <c r="P114" i="54" s="1"/>
  <c r="Q114" i="54" s="1"/>
  <c r="R113" i="20"/>
  <c r="V113" i="20"/>
  <c r="AF113" i="20"/>
  <c r="AR113" i="20"/>
  <c r="AT113" i="20" s="1"/>
  <c r="T113" i="20"/>
  <c r="U113" i="20"/>
  <c r="AI113" i="20"/>
  <c r="V112" i="20"/>
  <c r="H108" i="54"/>
  <c r="P108" i="54" s="1"/>
  <c r="Q108" i="54" s="1"/>
  <c r="S107" i="20"/>
  <c r="W107" i="20"/>
  <c r="AI107" i="20"/>
  <c r="T107" i="20"/>
  <c r="AR107" i="20"/>
  <c r="U107" i="20"/>
  <c r="AF107" i="20"/>
  <c r="BS110" i="20"/>
  <c r="W106" i="20"/>
  <c r="S96" i="20"/>
  <c r="T96" i="20"/>
  <c r="AP96" i="20"/>
  <c r="R96" i="20"/>
  <c r="AR96" i="20"/>
  <c r="AR100" i="20" s="1"/>
  <c r="U96" i="20"/>
  <c r="AF96" i="20"/>
  <c r="AP94" i="20"/>
  <c r="V94" i="20"/>
  <c r="S44" i="20"/>
  <c r="AI44" i="20"/>
  <c r="V44" i="20"/>
  <c r="AF44" i="20"/>
  <c r="AI43" i="20"/>
  <c r="S40" i="20"/>
  <c r="AI40" i="20"/>
  <c r="AF40" i="20"/>
  <c r="V40" i="20"/>
  <c r="V30" i="20"/>
  <c r="S30" i="20"/>
  <c r="AF30" i="20"/>
  <c r="AI30" i="20"/>
  <c r="AM156" i="20"/>
  <c r="H97" i="54"/>
  <c r="P97" i="54" s="1"/>
  <c r="Q97" i="54" s="1"/>
  <c r="R97" i="54" s="1"/>
  <c r="S97" i="54" s="1"/>
  <c r="AG96" i="20" s="1"/>
  <c r="U52" i="54"/>
  <c r="W52" i="54" s="1"/>
  <c r="H69" i="54"/>
  <c r="P69" i="54" s="1"/>
  <c r="Q69" i="54" s="1"/>
  <c r="R69" i="54" s="1"/>
  <c r="S68" i="20"/>
  <c r="X68" i="20"/>
  <c r="AP68" i="20"/>
  <c r="AT68" i="20" s="1"/>
  <c r="H60" i="54"/>
  <c r="P60" i="54" s="1"/>
  <c r="Q60" i="54" s="1"/>
  <c r="R60" i="54" s="1"/>
  <c r="S60" i="54" s="1"/>
  <c r="AG59" i="20" s="1"/>
  <c r="T59" i="20"/>
  <c r="AP59" i="20"/>
  <c r="U59" i="20"/>
  <c r="AF59" i="20"/>
  <c r="S54" i="20"/>
  <c r="AI54" i="20"/>
  <c r="T54" i="20"/>
  <c r="AR54" i="20"/>
  <c r="AT54" i="20" s="1"/>
  <c r="V31" i="20"/>
  <c r="S31" i="20"/>
  <c r="S11" i="20"/>
  <c r="AP11" i="20"/>
  <c r="M152" i="54"/>
  <c r="X152" i="54" s="1"/>
  <c r="Y152" i="54" s="1"/>
  <c r="AH151" i="20" s="1"/>
  <c r="M107" i="54"/>
  <c r="W98" i="54"/>
  <c r="W97" i="54"/>
  <c r="H55" i="54"/>
  <c r="P55" i="54" s="1"/>
  <c r="Q55" i="54" s="1"/>
  <c r="M54" i="54"/>
  <c r="H112" i="54"/>
  <c r="P112" i="54" s="1"/>
  <c r="Q112" i="54" s="1"/>
  <c r="R112" i="54" s="1"/>
  <c r="S112" i="54" s="1"/>
  <c r="AG111" i="20" s="1"/>
  <c r="R111" i="20"/>
  <c r="V111" i="20"/>
  <c r="AF111" i="20"/>
  <c r="AR111" i="20"/>
  <c r="AT111" i="20" s="1"/>
  <c r="H100" i="54"/>
  <c r="P100" i="54" s="1"/>
  <c r="Q100" i="54" s="1"/>
  <c r="R100" i="54" s="1"/>
  <c r="S100" i="54" s="1"/>
  <c r="AG99" i="20" s="1"/>
  <c r="R99" i="20"/>
  <c r="X99" i="20"/>
  <c r="AJ99" i="20"/>
  <c r="H98" i="54"/>
  <c r="P98" i="54" s="1"/>
  <c r="Q98" i="54" s="1"/>
  <c r="R98" i="54" s="1"/>
  <c r="S98" i="54" s="1"/>
  <c r="AG97" i="20" s="1"/>
  <c r="T97" i="20"/>
  <c r="AP97" i="20"/>
  <c r="AT97" i="20" s="1"/>
  <c r="BT95" i="20"/>
  <c r="BS82" i="20"/>
  <c r="H80" i="54"/>
  <c r="P80" i="54" s="1"/>
  <c r="Q80" i="54" s="1"/>
  <c r="R80" i="54" s="1"/>
  <c r="W79" i="20"/>
  <c r="AP79" i="20"/>
  <c r="AJ68" i="20"/>
  <c r="U68" i="20"/>
  <c r="H62" i="54"/>
  <c r="P62" i="54" s="1"/>
  <c r="Q62" i="54" s="1"/>
  <c r="S61" i="20"/>
  <c r="W61" i="20"/>
  <c r="AI61" i="20"/>
  <c r="R61" i="20"/>
  <c r="X61" i="20"/>
  <c r="AP61" i="20"/>
  <c r="AR59" i="20"/>
  <c r="X59" i="20"/>
  <c r="AJ54" i="20"/>
  <c r="V54" i="20"/>
  <c r="T51" i="20"/>
  <c r="X51" i="20"/>
  <c r="AJ51" i="20"/>
  <c r="R51" i="20"/>
  <c r="AP51" i="20"/>
  <c r="R50" i="20"/>
  <c r="V50" i="20"/>
  <c r="AF50" i="20"/>
  <c r="AR50" i="20"/>
  <c r="U50" i="20"/>
  <c r="AI50" i="20"/>
  <c r="H50" i="54"/>
  <c r="P50" i="54" s="1"/>
  <c r="Q50" i="54" s="1"/>
  <c r="R50" i="54" s="1"/>
  <c r="T49" i="20"/>
  <c r="X49" i="20"/>
  <c r="S49" i="20"/>
  <c r="S32" i="20"/>
  <c r="AI32" i="20"/>
  <c r="V32" i="20"/>
  <c r="AI31" i="20"/>
  <c r="V29" i="20"/>
  <c r="S29" i="20"/>
  <c r="U25" i="20"/>
  <c r="AF25" i="20"/>
  <c r="V25" i="20"/>
  <c r="AJ25" i="20"/>
  <c r="R22" i="20"/>
  <c r="W22" i="20"/>
  <c r="AJ22" i="20"/>
  <c r="V22" i="20"/>
  <c r="AR22" i="20"/>
  <c r="M131" i="54"/>
  <c r="X131" i="54" s="1"/>
  <c r="Y131" i="54" s="1"/>
  <c r="AH130" i="20" s="1"/>
  <c r="W131" i="54"/>
  <c r="W112" i="54"/>
  <c r="X112" i="54" s="1"/>
  <c r="Y112" i="54" s="1"/>
  <c r="AH111" i="20" s="1"/>
  <c r="W48" i="54"/>
  <c r="M43" i="54"/>
  <c r="M34" i="54"/>
  <c r="M32" i="54"/>
  <c r="W27" i="54"/>
  <c r="M25" i="54"/>
  <c r="AR150" i="20"/>
  <c r="AT150" i="20" s="1"/>
  <c r="AF150" i="20"/>
  <c r="W150" i="20"/>
  <c r="S150" i="20"/>
  <c r="AI111" i="20"/>
  <c r="U111" i="20"/>
  <c r="H109" i="54"/>
  <c r="P109" i="54" s="1"/>
  <c r="Q109" i="54" s="1"/>
  <c r="AJ108" i="20"/>
  <c r="AP99" i="20"/>
  <c r="AT99" i="20" s="1"/>
  <c r="V99" i="20"/>
  <c r="H99" i="54"/>
  <c r="P99" i="54" s="1"/>
  <c r="Q99" i="54" s="1"/>
  <c r="R98" i="20"/>
  <c r="X98" i="20"/>
  <c r="AJ98" i="20"/>
  <c r="AI97" i="20"/>
  <c r="AI100" i="20" s="1"/>
  <c r="V97" i="20"/>
  <c r="AP88" i="20"/>
  <c r="H88" i="54"/>
  <c r="P88" i="54" s="1"/>
  <c r="Q88" i="54" s="1"/>
  <c r="R88" i="54" s="1"/>
  <c r="T87" i="20"/>
  <c r="H84" i="54"/>
  <c r="P84" i="54" s="1"/>
  <c r="Q84" i="54" s="1"/>
  <c r="U83" i="20"/>
  <c r="AJ83" i="20"/>
  <c r="AJ84" i="20" s="1"/>
  <c r="AR79" i="20"/>
  <c r="U79" i="20"/>
  <c r="AI68" i="20"/>
  <c r="T68" i="20"/>
  <c r="H63" i="54"/>
  <c r="P63" i="54" s="1"/>
  <c r="Q63" i="54" s="1"/>
  <c r="T62" i="20"/>
  <c r="X62" i="20"/>
  <c r="AJ62" i="20"/>
  <c r="U62" i="20"/>
  <c r="AF62" i="20"/>
  <c r="AR61" i="20"/>
  <c r="AR63" i="20" s="1"/>
  <c r="V61" i="20"/>
  <c r="AJ59" i="20"/>
  <c r="V59" i="20"/>
  <c r="H57" i="54"/>
  <c r="P57" i="54" s="1"/>
  <c r="Q57" i="54" s="1"/>
  <c r="R57" i="54" s="1"/>
  <c r="S57" i="54" s="1"/>
  <c r="AG56" i="20" s="1"/>
  <c r="S56" i="20"/>
  <c r="AI56" i="20"/>
  <c r="T56" i="20"/>
  <c r="AR56" i="20"/>
  <c r="AT56" i="20" s="1"/>
  <c r="AF54" i="20"/>
  <c r="U54" i="20"/>
  <c r="H53" i="54"/>
  <c r="P53" i="54" s="1"/>
  <c r="Q53" i="54" s="1"/>
  <c r="R53" i="54" s="1"/>
  <c r="S53" i="54" s="1"/>
  <c r="AG52" i="20" s="1"/>
  <c r="S52" i="20"/>
  <c r="AR52" i="20"/>
  <c r="AT52" i="20" s="1"/>
  <c r="U52" i="20"/>
  <c r="AF52" i="20"/>
  <c r="AR51" i="20"/>
  <c r="V51" i="20"/>
  <c r="AP50" i="20"/>
  <c r="W50" i="20"/>
  <c r="V49" i="20"/>
  <c r="V42" i="20"/>
  <c r="V39" i="20"/>
  <c r="AF39" i="20"/>
  <c r="S34" i="20"/>
  <c r="AI34" i="20"/>
  <c r="AF31" i="20"/>
  <c r="W25" i="20"/>
  <c r="R24" i="20"/>
  <c r="W24" i="20"/>
  <c r="AJ24" i="20"/>
  <c r="U24" i="20"/>
  <c r="AI24" i="20"/>
  <c r="W139" i="54"/>
  <c r="M138" i="54"/>
  <c r="W105" i="54"/>
  <c r="W80" i="54"/>
  <c r="H52" i="54"/>
  <c r="P52" i="54" s="1"/>
  <c r="Q52" i="54" s="1"/>
  <c r="R52" i="54" s="1"/>
  <c r="S52" i="54" s="1"/>
  <c r="AG51" i="20" s="1"/>
  <c r="M44" i="54"/>
  <c r="W42" i="54"/>
  <c r="M35" i="54"/>
  <c r="Q127" i="54"/>
  <c r="R127" i="54" s="1"/>
  <c r="S127" i="54" s="1"/>
  <c r="AG126" i="20" s="1"/>
  <c r="H59" i="54"/>
  <c r="P59" i="54" s="1"/>
  <c r="Q59" i="54" s="1"/>
  <c r="R59" i="54" s="1"/>
  <c r="S59" i="54" s="1"/>
  <c r="AG58" i="20" s="1"/>
  <c r="U58" i="20"/>
  <c r="AF58" i="20"/>
  <c r="AR58" i="20"/>
  <c r="AT58" i="20" s="1"/>
  <c r="S57" i="20"/>
  <c r="U57" i="20"/>
  <c r="AF57" i="20"/>
  <c r="AR57" i="20"/>
  <c r="AT57" i="20" s="1"/>
  <c r="H54" i="54"/>
  <c r="P54" i="54" s="1"/>
  <c r="Q54" i="54" s="1"/>
  <c r="R54" i="54" s="1"/>
  <c r="T53" i="20"/>
  <c r="X53" i="20"/>
  <c r="AJ53" i="20"/>
  <c r="R48" i="20"/>
  <c r="V48" i="20"/>
  <c r="AF48" i="20"/>
  <c r="AR48" i="20"/>
  <c r="AT48" i="20" s="1"/>
  <c r="S36" i="20"/>
  <c r="AI36" i="20"/>
  <c r="R27" i="20"/>
  <c r="W27" i="20"/>
  <c r="W145" i="54"/>
  <c r="M124" i="54"/>
  <c r="M103" i="54"/>
  <c r="M76" i="54"/>
  <c r="M57" i="54"/>
  <c r="M53" i="54"/>
  <c r="X53" i="54" s="1"/>
  <c r="Y53" i="54" s="1"/>
  <c r="AH52" i="20" s="1"/>
  <c r="M49" i="54"/>
  <c r="H49" i="54"/>
  <c r="P49" i="54" s="1"/>
  <c r="Q49" i="54" s="1"/>
  <c r="R49" i="54" s="1"/>
  <c r="S49" i="54" s="1"/>
  <c r="AG48" i="20" s="1"/>
  <c r="M48" i="54"/>
  <c r="X48" i="54" s="1"/>
  <c r="Y48" i="54" s="1"/>
  <c r="AH47" i="20" s="1"/>
  <c r="W147" i="54"/>
  <c r="M135" i="54"/>
  <c r="M134" i="54"/>
  <c r="M129" i="54"/>
  <c r="M126" i="54"/>
  <c r="X126" i="54" s="1"/>
  <c r="Y126" i="54" s="1"/>
  <c r="AH125" i="20" s="1"/>
  <c r="M118" i="54"/>
  <c r="W116" i="54"/>
  <c r="M115" i="54"/>
  <c r="M113" i="54"/>
  <c r="M82" i="54"/>
  <c r="M72" i="54"/>
  <c r="X72" i="54" s="1"/>
  <c r="Y72" i="54" s="1"/>
  <c r="AH71" i="20" s="1"/>
  <c r="W60" i="54"/>
  <c r="M56" i="54"/>
  <c r="X56" i="54" s="1"/>
  <c r="M40" i="54"/>
  <c r="M21" i="54"/>
  <c r="M19" i="54"/>
  <c r="M121" i="54"/>
  <c r="M112" i="54"/>
  <c r="M70" i="54"/>
  <c r="X70" i="54" s="1"/>
  <c r="Y70" i="54" s="1"/>
  <c r="AH69" i="20" s="1"/>
  <c r="M47" i="54"/>
  <c r="M46" i="54"/>
  <c r="X46" i="54" s="1"/>
  <c r="Y46" i="54" s="1"/>
  <c r="AH45" i="20" s="1"/>
  <c r="M42" i="54"/>
  <c r="X42" i="54" s="1"/>
  <c r="Y42" i="54" s="1"/>
  <c r="AH41" i="20" s="1"/>
  <c r="M39" i="54"/>
  <c r="M22" i="54"/>
  <c r="X22" i="54" s="1"/>
  <c r="Y22" i="54" s="1"/>
  <c r="AH21" i="20" s="1"/>
  <c r="M20" i="54"/>
  <c r="M18" i="54"/>
  <c r="AD12" i="23"/>
  <c r="AE12" i="23" s="1"/>
  <c r="T116" i="23"/>
  <c r="U116" i="23" s="1"/>
  <c r="T112" i="23"/>
  <c r="U112" i="23" s="1"/>
  <c r="T96" i="23"/>
  <c r="U96" i="23" s="1"/>
  <c r="V96" i="23" s="1"/>
  <c r="AD123" i="23"/>
  <c r="AE123" i="23" s="1"/>
  <c r="AF123" i="23" s="1"/>
  <c r="AD113" i="23"/>
  <c r="AE113" i="23" s="1"/>
  <c r="AF113" i="23" s="1"/>
  <c r="AD75" i="23"/>
  <c r="AE75" i="23" s="1"/>
  <c r="AF75" i="23" s="1"/>
  <c r="AD33" i="23"/>
  <c r="AE33" i="23" s="1"/>
  <c r="AN108" i="23"/>
  <c r="AO108" i="23" s="1"/>
  <c r="AN94" i="23"/>
  <c r="AO94" i="23" s="1"/>
  <c r="T106" i="23"/>
  <c r="U106" i="23" s="1"/>
  <c r="V106" i="23" s="1"/>
  <c r="W106" i="23" s="1"/>
  <c r="T42" i="23"/>
  <c r="U42" i="23" s="1"/>
  <c r="AX18" i="23"/>
  <c r="T121" i="23"/>
  <c r="U121" i="23" s="1"/>
  <c r="T117" i="23"/>
  <c r="U117" i="23" s="1"/>
  <c r="T113" i="23"/>
  <c r="U113" i="23" s="1"/>
  <c r="T109" i="23"/>
  <c r="U109" i="23" s="1"/>
  <c r="T105" i="23"/>
  <c r="U105" i="23" s="1"/>
  <c r="T101" i="23"/>
  <c r="U101" i="23" s="1"/>
  <c r="T97" i="23"/>
  <c r="U97" i="23" s="1"/>
  <c r="T93" i="23"/>
  <c r="U93" i="23" s="1"/>
  <c r="T89" i="23"/>
  <c r="U89" i="23" s="1"/>
  <c r="T85" i="23"/>
  <c r="U85" i="23" s="1"/>
  <c r="T81" i="23"/>
  <c r="U81" i="23" s="1"/>
  <c r="T77" i="23"/>
  <c r="U77" i="23" s="1"/>
  <c r="V77" i="23" s="1"/>
  <c r="T73" i="23"/>
  <c r="U73" i="23" s="1"/>
  <c r="V73" i="23" s="1"/>
  <c r="T69" i="23"/>
  <c r="U69" i="23" s="1"/>
  <c r="T65" i="23"/>
  <c r="U65" i="23" s="1"/>
  <c r="T61" i="23"/>
  <c r="U61" i="23" s="1"/>
  <c r="T57" i="23"/>
  <c r="U57" i="23" s="1"/>
  <c r="V57" i="23" s="1"/>
  <c r="T53" i="23"/>
  <c r="U53" i="23" s="1"/>
  <c r="V53" i="23" s="1"/>
  <c r="T49" i="23"/>
  <c r="U49" i="23" s="1"/>
  <c r="T45" i="23"/>
  <c r="U45" i="23" s="1"/>
  <c r="V45" i="23" s="1"/>
  <c r="T41" i="23"/>
  <c r="U41" i="23" s="1"/>
  <c r="V41" i="23" s="1"/>
  <c r="T37" i="23"/>
  <c r="U37" i="23" s="1"/>
  <c r="T33" i="23"/>
  <c r="U33" i="23" s="1"/>
  <c r="T29" i="23"/>
  <c r="U29" i="23" s="1"/>
  <c r="V29" i="23" s="1"/>
  <c r="T25" i="23"/>
  <c r="U25" i="23" s="1"/>
  <c r="T21" i="23"/>
  <c r="U21" i="23" s="1"/>
  <c r="V21" i="23" s="1"/>
  <c r="T17" i="23"/>
  <c r="U17" i="23" s="1"/>
  <c r="V17" i="23" s="1"/>
  <c r="T13" i="23"/>
  <c r="U13" i="23" s="1"/>
  <c r="AD122" i="23"/>
  <c r="AE122" i="23" s="1"/>
  <c r="AD114" i="23"/>
  <c r="AE114" i="23" s="1"/>
  <c r="AD106" i="23"/>
  <c r="AE106" i="23" s="1"/>
  <c r="AD98" i="23"/>
  <c r="AD90" i="23"/>
  <c r="AE90" i="23" s="1"/>
  <c r="AF90" i="23" s="1"/>
  <c r="AG90" i="23" s="1"/>
  <c r="AD82" i="23"/>
  <c r="AE82" i="23" s="1"/>
  <c r="AD74" i="23"/>
  <c r="AE74" i="23" s="1"/>
  <c r="AF74" i="23" s="1"/>
  <c r="AD66" i="23"/>
  <c r="AE66" i="23" s="1"/>
  <c r="AD58" i="23"/>
  <c r="AE58" i="23" s="1"/>
  <c r="AF58" i="23" s="1"/>
  <c r="AD50" i="23"/>
  <c r="AE50" i="23" s="1"/>
  <c r="AF50" i="23" s="1"/>
  <c r="AD42" i="23"/>
  <c r="AE42" i="23" s="1"/>
  <c r="AD34" i="23"/>
  <c r="AE34" i="23" s="1"/>
  <c r="AF34" i="23" s="1"/>
  <c r="AG34" i="23" s="1"/>
  <c r="AD26" i="23"/>
  <c r="AE26" i="23" s="1"/>
  <c r="AD18" i="23"/>
  <c r="AE18" i="23" s="1"/>
  <c r="AF18" i="23" s="1"/>
  <c r="AN123" i="23"/>
  <c r="AO123" i="23" s="1"/>
  <c r="AN121" i="23"/>
  <c r="AO121" i="23" s="1"/>
  <c r="AN119" i="23"/>
  <c r="AO119" i="23" s="1"/>
  <c r="AN115" i="23"/>
  <c r="AO115" i="23" s="1"/>
  <c r="AN113" i="23"/>
  <c r="AO113" i="23" s="1"/>
  <c r="AN111" i="23"/>
  <c r="AO111" i="23" s="1"/>
  <c r="AP111" i="23" s="1"/>
  <c r="AN107" i="23"/>
  <c r="AO107" i="23" s="1"/>
  <c r="AN105" i="23"/>
  <c r="AO105" i="23" s="1"/>
  <c r="AP105" i="23" s="1"/>
  <c r="AN103" i="23"/>
  <c r="AO103" i="23" s="1"/>
  <c r="AN99" i="23"/>
  <c r="AO99" i="23" s="1"/>
  <c r="AP99" i="23" s="1"/>
  <c r="AN97" i="23"/>
  <c r="AO97" i="23" s="1"/>
  <c r="AP97" i="23" s="1"/>
  <c r="AN95" i="23"/>
  <c r="AO95" i="23" s="1"/>
  <c r="AN91" i="23"/>
  <c r="AO91" i="23" s="1"/>
  <c r="AN89" i="23"/>
  <c r="AO89" i="23" s="1"/>
  <c r="AN87" i="23"/>
  <c r="AO87" i="23" s="1"/>
  <c r="AN83" i="23"/>
  <c r="AO83" i="23" s="1"/>
  <c r="AN81" i="23"/>
  <c r="AO81" i="23" s="1"/>
  <c r="AP81" i="23" s="1"/>
  <c r="AN79" i="23"/>
  <c r="AO79" i="23" s="1"/>
  <c r="AN75" i="23"/>
  <c r="AO75" i="23" s="1"/>
  <c r="AN73" i="23"/>
  <c r="AO73" i="23" s="1"/>
  <c r="AN71" i="23"/>
  <c r="AO71" i="23" s="1"/>
  <c r="AN67" i="23"/>
  <c r="AO67" i="23" s="1"/>
  <c r="AP67" i="23" s="1"/>
  <c r="AN65" i="23"/>
  <c r="AO65" i="23" s="1"/>
  <c r="AN63" i="23"/>
  <c r="AO63" i="23" s="1"/>
  <c r="AN59" i="23"/>
  <c r="AO59" i="23" s="1"/>
  <c r="AP59" i="23" s="1"/>
  <c r="AN57" i="23"/>
  <c r="AO57" i="23" s="1"/>
  <c r="AP57" i="23" s="1"/>
  <c r="AN55" i="23"/>
  <c r="AN51" i="23"/>
  <c r="AO51" i="23" s="1"/>
  <c r="AP51" i="23" s="1"/>
  <c r="AN49" i="23"/>
  <c r="AO49" i="23" s="1"/>
  <c r="AP49" i="23" s="1"/>
  <c r="AN47" i="23"/>
  <c r="AO47" i="23" s="1"/>
  <c r="AP47" i="23" s="1"/>
  <c r="AN43" i="23"/>
  <c r="AO43" i="23" s="1"/>
  <c r="AP43" i="23" s="1"/>
  <c r="AQ43" i="23" s="1"/>
  <c r="AN41" i="23"/>
  <c r="AO41" i="23" s="1"/>
  <c r="AP41" i="23" s="1"/>
  <c r="AN39" i="23"/>
  <c r="AO39" i="23" s="1"/>
  <c r="AN35" i="23"/>
  <c r="AO35" i="23" s="1"/>
  <c r="AP35" i="23" s="1"/>
  <c r="AN33" i="23"/>
  <c r="AO33" i="23" s="1"/>
  <c r="AP33" i="23" s="1"/>
  <c r="AN31" i="23"/>
  <c r="AO31" i="23" s="1"/>
  <c r="AN27" i="23"/>
  <c r="AO27" i="23" s="1"/>
  <c r="AN25" i="23"/>
  <c r="AO25" i="23" s="1"/>
  <c r="AN23" i="23"/>
  <c r="AO23" i="23" s="1"/>
  <c r="AP23" i="23" s="1"/>
  <c r="AN19" i="23"/>
  <c r="AO19" i="23" s="1"/>
  <c r="AN17" i="23"/>
  <c r="AO17" i="23" s="1"/>
  <c r="AP17" i="23" s="1"/>
  <c r="AN15" i="23"/>
  <c r="AO15" i="23" s="1"/>
  <c r="AP15" i="23" s="1"/>
  <c r="R154" i="20"/>
  <c r="V154" i="20"/>
  <c r="AF154" i="20"/>
  <c r="AJ154" i="20"/>
  <c r="H155" i="54"/>
  <c r="P155" i="54" s="1"/>
  <c r="Q155" i="54" s="1"/>
  <c r="T154" i="20"/>
  <c r="X154" i="20"/>
  <c r="AP154" i="20"/>
  <c r="U154" i="20"/>
  <c r="H154" i="54"/>
  <c r="P154" i="54" s="1"/>
  <c r="Q154" i="54" s="1"/>
  <c r="R153" i="20"/>
  <c r="V153" i="20"/>
  <c r="AF153" i="20"/>
  <c r="AJ153" i="20"/>
  <c r="T153" i="20"/>
  <c r="X153" i="20"/>
  <c r="AP153" i="20"/>
  <c r="U151" i="20"/>
  <c r="S132" i="54"/>
  <c r="AG131" i="20" s="1"/>
  <c r="R132" i="54"/>
  <c r="R126" i="54"/>
  <c r="S126" i="54" s="1"/>
  <c r="AG125" i="20" s="1"/>
  <c r="AI154" i="20"/>
  <c r="S154" i="20"/>
  <c r="AR153" i="20"/>
  <c r="W153" i="20"/>
  <c r="AI151" i="20"/>
  <c r="AP148" i="20"/>
  <c r="H147" i="54"/>
  <c r="P147" i="54" s="1"/>
  <c r="Q147" i="54" s="1"/>
  <c r="T146" i="20"/>
  <c r="X146" i="20"/>
  <c r="AP146" i="20"/>
  <c r="R146" i="20"/>
  <c r="V146" i="20"/>
  <c r="AF146" i="20"/>
  <c r="AJ146" i="20"/>
  <c r="T144" i="20"/>
  <c r="X144" i="20"/>
  <c r="AP144" i="20"/>
  <c r="R144" i="20"/>
  <c r="V144" i="20"/>
  <c r="AF144" i="20"/>
  <c r="AJ144" i="20"/>
  <c r="H145" i="54"/>
  <c r="P145" i="54" s="1"/>
  <c r="Q145" i="54" s="1"/>
  <c r="S144" i="20"/>
  <c r="W144" i="20"/>
  <c r="H143" i="54"/>
  <c r="P143" i="54" s="1"/>
  <c r="Q143" i="54" s="1"/>
  <c r="T142" i="20"/>
  <c r="X142" i="20"/>
  <c r="AP142" i="20"/>
  <c r="R142" i="20"/>
  <c r="V142" i="20"/>
  <c r="AF142" i="20"/>
  <c r="AJ142" i="20"/>
  <c r="S142" i="20"/>
  <c r="W142" i="20"/>
  <c r="H152" i="54"/>
  <c r="P152" i="54" s="1"/>
  <c r="Q152" i="54" s="1"/>
  <c r="R151" i="20"/>
  <c r="V151" i="20"/>
  <c r="AF151" i="20"/>
  <c r="AJ151" i="20"/>
  <c r="T151" i="20"/>
  <c r="X151" i="20"/>
  <c r="AP151" i="20"/>
  <c r="AR154" i="20"/>
  <c r="W154" i="20"/>
  <c r="AI153" i="20"/>
  <c r="S153" i="20"/>
  <c r="AR151" i="20"/>
  <c r="W151" i="20"/>
  <c r="H149" i="54"/>
  <c r="P149" i="54" s="1"/>
  <c r="Q149" i="54" s="1"/>
  <c r="S148" i="20"/>
  <c r="W148" i="20"/>
  <c r="U148" i="20"/>
  <c r="AI148" i="20"/>
  <c r="AI149" i="20" s="1"/>
  <c r="AR148" i="20"/>
  <c r="AR149" i="20" s="1"/>
  <c r="H146" i="54"/>
  <c r="P146" i="54" s="1"/>
  <c r="Q146" i="54" s="1"/>
  <c r="T145" i="20"/>
  <c r="X145" i="20"/>
  <c r="AP145" i="20"/>
  <c r="R145" i="20"/>
  <c r="V145" i="20"/>
  <c r="AF145" i="20"/>
  <c r="AJ145" i="20"/>
  <c r="H144" i="54"/>
  <c r="P144" i="54" s="1"/>
  <c r="Q144" i="54" s="1"/>
  <c r="T143" i="20"/>
  <c r="X143" i="20"/>
  <c r="AP143" i="20"/>
  <c r="AT143" i="20" s="1"/>
  <c r="R143" i="20"/>
  <c r="V143" i="20"/>
  <c r="AF143" i="20"/>
  <c r="AJ143" i="20"/>
  <c r="S143" i="20"/>
  <c r="W143" i="20"/>
  <c r="AR142" i="20"/>
  <c r="W141" i="20"/>
  <c r="S141" i="20"/>
  <c r="S139" i="20"/>
  <c r="W138" i="20"/>
  <c r="S138" i="20"/>
  <c r="S137" i="20"/>
  <c r="S136" i="20"/>
  <c r="S134" i="20"/>
  <c r="W133" i="20"/>
  <c r="S133" i="20"/>
  <c r="S131" i="20"/>
  <c r="W130" i="20"/>
  <c r="S130" i="20"/>
  <c r="S129" i="20"/>
  <c r="W128" i="20"/>
  <c r="S128" i="20"/>
  <c r="S126" i="20"/>
  <c r="W125" i="20"/>
  <c r="S125" i="20"/>
  <c r="S123" i="20"/>
  <c r="S122" i="20"/>
  <c r="W120" i="20"/>
  <c r="S120" i="20"/>
  <c r="W119" i="20"/>
  <c r="S119" i="20"/>
  <c r="S118" i="20"/>
  <c r="S117" i="20"/>
  <c r="S115" i="20"/>
  <c r="S114" i="20"/>
  <c r="AP104" i="20"/>
  <c r="T104" i="20"/>
  <c r="H103" i="54"/>
  <c r="P103" i="54" s="1"/>
  <c r="Q103" i="54" s="1"/>
  <c r="R102" i="20"/>
  <c r="V102" i="20"/>
  <c r="AF102" i="20"/>
  <c r="AJ102" i="20"/>
  <c r="T102" i="20"/>
  <c r="X102" i="20"/>
  <c r="AP102" i="20"/>
  <c r="H90" i="54"/>
  <c r="P90" i="54" s="1"/>
  <c r="Q90" i="54" s="1"/>
  <c r="U89" i="20"/>
  <c r="AI89" i="20"/>
  <c r="AI90" i="20" s="1"/>
  <c r="AR89" i="20"/>
  <c r="S89" i="20"/>
  <c r="W89" i="20"/>
  <c r="AP80" i="20"/>
  <c r="T80" i="20"/>
  <c r="U75" i="20"/>
  <c r="H75" i="54"/>
  <c r="P75" i="54" s="1"/>
  <c r="Q75" i="54" s="1"/>
  <c r="T74" i="20"/>
  <c r="X74" i="20"/>
  <c r="AP74" i="20"/>
  <c r="R74" i="20"/>
  <c r="V74" i="20"/>
  <c r="AF74" i="20"/>
  <c r="AJ74" i="20"/>
  <c r="U73" i="20"/>
  <c r="H73" i="54"/>
  <c r="P73" i="54" s="1"/>
  <c r="Q73" i="54" s="1"/>
  <c r="T72" i="20"/>
  <c r="X72" i="20"/>
  <c r="AP72" i="20"/>
  <c r="R72" i="20"/>
  <c r="V72" i="20"/>
  <c r="AF72" i="20"/>
  <c r="AJ72" i="20"/>
  <c r="H72" i="54"/>
  <c r="P72" i="54" s="1"/>
  <c r="Q72" i="54" s="1"/>
  <c r="T71" i="20"/>
  <c r="X71" i="20"/>
  <c r="R71" i="20"/>
  <c r="V71" i="20"/>
  <c r="U69" i="20"/>
  <c r="H67" i="54"/>
  <c r="P67" i="54" s="1"/>
  <c r="Q67" i="54" s="1"/>
  <c r="U66" i="20"/>
  <c r="AI66" i="20"/>
  <c r="AI67" i="20" s="1"/>
  <c r="AR66" i="20"/>
  <c r="AT66" i="20" s="1"/>
  <c r="S66" i="20"/>
  <c r="W66" i="20"/>
  <c r="BM49" i="20"/>
  <c r="U138" i="54"/>
  <c r="W138" i="54"/>
  <c r="U113" i="54"/>
  <c r="W55" i="54"/>
  <c r="AJ141" i="20"/>
  <c r="AF141" i="20"/>
  <c r="V141" i="20"/>
  <c r="R141" i="20"/>
  <c r="AJ139" i="20"/>
  <c r="AF139" i="20"/>
  <c r="V139" i="20"/>
  <c r="R139" i="20"/>
  <c r="AJ138" i="20"/>
  <c r="AF138" i="20"/>
  <c r="V138" i="20"/>
  <c r="R138" i="20"/>
  <c r="AJ137" i="20"/>
  <c r="AF137" i="20"/>
  <c r="V137" i="20"/>
  <c r="R137" i="20"/>
  <c r="AJ136" i="20"/>
  <c r="AJ140" i="20" s="1"/>
  <c r="AF136" i="20"/>
  <c r="V136" i="20"/>
  <c r="R136" i="20"/>
  <c r="AJ134" i="20"/>
  <c r="AF134" i="20"/>
  <c r="V134" i="20"/>
  <c r="R134" i="20"/>
  <c r="AJ133" i="20"/>
  <c r="AJ135" i="20" s="1"/>
  <c r="AF133" i="20"/>
  <c r="V133" i="20"/>
  <c r="R133" i="20"/>
  <c r="V131" i="20"/>
  <c r="R131" i="20"/>
  <c r="AJ130" i="20"/>
  <c r="AF130" i="20"/>
  <c r="V130" i="20"/>
  <c r="R130" i="20"/>
  <c r="V129" i="20"/>
  <c r="R129" i="20"/>
  <c r="AJ128" i="20"/>
  <c r="AF128" i="20"/>
  <c r="V128" i="20"/>
  <c r="R128" i="20"/>
  <c r="AJ126" i="20"/>
  <c r="AF126" i="20"/>
  <c r="V126" i="20"/>
  <c r="R126" i="20"/>
  <c r="AJ125" i="20"/>
  <c r="AJ127" i="20" s="1"/>
  <c r="AF125" i="20"/>
  <c r="V125" i="20"/>
  <c r="R125" i="20"/>
  <c r="AJ123" i="20"/>
  <c r="AF123" i="20"/>
  <c r="V123" i="20"/>
  <c r="R123" i="20"/>
  <c r="AJ122" i="20"/>
  <c r="AJ124" i="20" s="1"/>
  <c r="AF122" i="20"/>
  <c r="V122" i="20"/>
  <c r="R122" i="20"/>
  <c r="AJ120" i="20"/>
  <c r="AF120" i="20"/>
  <c r="V120" i="20"/>
  <c r="R120" i="20"/>
  <c r="AJ119" i="20"/>
  <c r="AF119" i="20"/>
  <c r="V119" i="20"/>
  <c r="R119" i="20"/>
  <c r="AJ118" i="20"/>
  <c r="AF118" i="20"/>
  <c r="V118" i="20"/>
  <c r="R118" i="20"/>
  <c r="AJ117" i="20"/>
  <c r="AF117" i="20"/>
  <c r="V117" i="20"/>
  <c r="R117" i="20"/>
  <c r="AJ115" i="20"/>
  <c r="AF115" i="20"/>
  <c r="V115" i="20"/>
  <c r="R115" i="20"/>
  <c r="AJ114" i="20"/>
  <c r="AF114" i="20"/>
  <c r="V114" i="20"/>
  <c r="R114" i="20"/>
  <c r="AJ104" i="20"/>
  <c r="AJ105" i="20" s="1"/>
  <c r="AR102" i="20"/>
  <c r="W102" i="20"/>
  <c r="AP93" i="20"/>
  <c r="AF89" i="20"/>
  <c r="V89" i="20"/>
  <c r="H86" i="54"/>
  <c r="P86" i="54" s="1"/>
  <c r="Q86" i="54" s="1"/>
  <c r="S85" i="20"/>
  <c r="W85" i="20"/>
  <c r="U85" i="20"/>
  <c r="AI85" i="20"/>
  <c r="AI86" i="20" s="1"/>
  <c r="AR85" i="20"/>
  <c r="AJ80" i="20"/>
  <c r="AP77" i="20"/>
  <c r="AI75" i="20"/>
  <c r="AR74" i="20"/>
  <c r="W74" i="20"/>
  <c r="AI73" i="20"/>
  <c r="AR72" i="20"/>
  <c r="W72" i="20"/>
  <c r="AI69" i="20"/>
  <c r="AF66" i="20"/>
  <c r="V66" i="20"/>
  <c r="BS60" i="20"/>
  <c r="M132" i="54"/>
  <c r="U108" i="54"/>
  <c r="U107" i="54"/>
  <c r="U35" i="54"/>
  <c r="U18" i="54"/>
  <c r="R118" i="54"/>
  <c r="S118" i="54" s="1"/>
  <c r="AG117" i="20" s="1"/>
  <c r="H105" i="54"/>
  <c r="P105" i="54" s="1"/>
  <c r="Q105" i="54" s="1"/>
  <c r="U104" i="20"/>
  <c r="AI104" i="20"/>
  <c r="AI105" i="20" s="1"/>
  <c r="AR104" i="20"/>
  <c r="AR105" i="20" s="1"/>
  <c r="S104" i="20"/>
  <c r="W104" i="20"/>
  <c r="H81" i="54"/>
  <c r="P81" i="54" s="1"/>
  <c r="Q81" i="54" s="1"/>
  <c r="U80" i="20"/>
  <c r="AI80" i="20"/>
  <c r="AI82" i="20" s="1"/>
  <c r="AR80" i="20"/>
  <c r="S80" i="20"/>
  <c r="W80" i="20"/>
  <c r="H76" i="54"/>
  <c r="P76" i="54" s="1"/>
  <c r="Q76" i="54" s="1"/>
  <c r="T75" i="20"/>
  <c r="X75" i="20"/>
  <c r="AP75" i="20"/>
  <c r="R75" i="20"/>
  <c r="V75" i="20"/>
  <c r="AF75" i="20"/>
  <c r="AJ75" i="20"/>
  <c r="H74" i="54"/>
  <c r="P74" i="54" s="1"/>
  <c r="Q74" i="54" s="1"/>
  <c r="T73" i="20"/>
  <c r="X73" i="20"/>
  <c r="AP73" i="20"/>
  <c r="R73" i="20"/>
  <c r="V73" i="20"/>
  <c r="AF73" i="20"/>
  <c r="AJ73" i="20"/>
  <c r="T69" i="20"/>
  <c r="X69" i="20"/>
  <c r="AP69" i="20"/>
  <c r="H70" i="54"/>
  <c r="P70" i="54" s="1"/>
  <c r="Q70" i="54" s="1"/>
  <c r="R69" i="20"/>
  <c r="V69" i="20"/>
  <c r="AF69" i="20"/>
  <c r="AJ69" i="20"/>
  <c r="H22" i="54"/>
  <c r="P22" i="54" s="1"/>
  <c r="Q22" i="54" s="1"/>
  <c r="R21" i="20"/>
  <c r="V21" i="20"/>
  <c r="S21" i="20"/>
  <c r="X21" i="20"/>
  <c r="T21" i="20"/>
  <c r="W21" i="20"/>
  <c r="U21" i="20"/>
  <c r="M145" i="54"/>
  <c r="R51" i="54"/>
  <c r="S51" i="54" s="1"/>
  <c r="AG50" i="20" s="1"/>
  <c r="AP141" i="20"/>
  <c r="X141" i="20"/>
  <c r="T141" i="20"/>
  <c r="AP139" i="20"/>
  <c r="T139" i="20"/>
  <c r="AP138" i="20"/>
  <c r="T138" i="20"/>
  <c r="AP137" i="20"/>
  <c r="T137" i="20"/>
  <c r="AP136" i="20"/>
  <c r="T136" i="20"/>
  <c r="AP134" i="20"/>
  <c r="X134" i="20"/>
  <c r="T134" i="20"/>
  <c r="AP133" i="20"/>
  <c r="X133" i="20"/>
  <c r="T133" i="20"/>
  <c r="X131" i="20"/>
  <c r="T131" i="20"/>
  <c r="AP130" i="20"/>
  <c r="X130" i="20"/>
  <c r="T130" i="20"/>
  <c r="X129" i="20"/>
  <c r="T129" i="20"/>
  <c r="AP128" i="20"/>
  <c r="X128" i="20"/>
  <c r="T128" i="20"/>
  <c r="AP126" i="20"/>
  <c r="AT126" i="20" s="1"/>
  <c r="X126" i="20"/>
  <c r="T126" i="20"/>
  <c r="AP125" i="20"/>
  <c r="AT125" i="20" s="1"/>
  <c r="X125" i="20"/>
  <c r="T125" i="20"/>
  <c r="AP123" i="20"/>
  <c r="AT123" i="20" s="1"/>
  <c r="X123" i="20"/>
  <c r="T123" i="20"/>
  <c r="AP122" i="20"/>
  <c r="AT122" i="20" s="1"/>
  <c r="X122" i="20"/>
  <c r="T122" i="20"/>
  <c r="AP120" i="20"/>
  <c r="AT120" i="20" s="1"/>
  <c r="X120" i="20"/>
  <c r="T120" i="20"/>
  <c r="AP119" i="20"/>
  <c r="AT119" i="20" s="1"/>
  <c r="X119" i="20"/>
  <c r="T119" i="20"/>
  <c r="AP118" i="20"/>
  <c r="AT118" i="20" s="1"/>
  <c r="X118" i="20"/>
  <c r="T118" i="20"/>
  <c r="AP117" i="20"/>
  <c r="X117" i="20"/>
  <c r="T117" i="20"/>
  <c r="AP115" i="20"/>
  <c r="AT115" i="20" s="1"/>
  <c r="X115" i="20"/>
  <c r="AP114" i="20"/>
  <c r="AT114" i="20" s="1"/>
  <c r="T114" i="20"/>
  <c r="AF104" i="20"/>
  <c r="V104" i="20"/>
  <c r="AI102" i="20"/>
  <c r="AI103" i="20" s="1"/>
  <c r="S102" i="20"/>
  <c r="H94" i="54"/>
  <c r="P94" i="54" s="1"/>
  <c r="Q94" i="54" s="1"/>
  <c r="S93" i="20"/>
  <c r="W93" i="20"/>
  <c r="U93" i="20"/>
  <c r="AI93" i="20"/>
  <c r="AR93" i="20"/>
  <c r="AJ89" i="20"/>
  <c r="AJ90" i="20" s="1"/>
  <c r="R89" i="20"/>
  <c r="AF80" i="20"/>
  <c r="V80" i="20"/>
  <c r="H78" i="54"/>
  <c r="P78" i="54" s="1"/>
  <c r="Q78" i="54" s="1"/>
  <c r="S77" i="20"/>
  <c r="U77" i="20"/>
  <c r="AI77" i="20"/>
  <c r="AI78" i="20" s="1"/>
  <c r="AR77" i="20"/>
  <c r="AR78" i="20" s="1"/>
  <c r="AR75" i="20"/>
  <c r="W75" i="20"/>
  <c r="AI74" i="20"/>
  <c r="S74" i="20"/>
  <c r="AR73" i="20"/>
  <c r="W73" i="20"/>
  <c r="AI72" i="20"/>
  <c r="S72" i="20"/>
  <c r="S71" i="20"/>
  <c r="AR69" i="20"/>
  <c r="AR70" i="20" s="1"/>
  <c r="AJ66" i="20"/>
  <c r="AJ67" i="20" s="1"/>
  <c r="R66" i="20"/>
  <c r="BK55" i="20"/>
  <c r="BT60" i="20"/>
  <c r="U137" i="54"/>
  <c r="S130" i="54"/>
  <c r="AG129" i="20" s="1"/>
  <c r="R46" i="54"/>
  <c r="S46" i="54"/>
  <c r="AG45" i="20" s="1"/>
  <c r="W30" i="54"/>
  <c r="U24" i="54"/>
  <c r="AF68" i="20"/>
  <c r="V68" i="20"/>
  <c r="R68" i="20"/>
  <c r="AF29" i="20"/>
  <c r="AF28" i="20"/>
  <c r="BL27" i="20"/>
  <c r="BN27" i="20" s="1"/>
  <c r="BK27" i="20"/>
  <c r="H24" i="54"/>
  <c r="P24" i="54" s="1"/>
  <c r="Q24" i="54" s="1"/>
  <c r="T23" i="20"/>
  <c r="X23" i="20"/>
  <c r="AP23" i="20"/>
  <c r="S23" i="20"/>
  <c r="AF23" i="20"/>
  <c r="V23" i="20"/>
  <c r="AR23" i="20"/>
  <c r="R23" i="20"/>
  <c r="AI23" i="20"/>
  <c r="M143" i="54"/>
  <c r="X132" i="54"/>
  <c r="Y132" i="54" s="1"/>
  <c r="AH131" i="20" s="1"/>
  <c r="U129" i="54"/>
  <c r="U119" i="54"/>
  <c r="Q119" i="54"/>
  <c r="U103" i="54"/>
  <c r="W103" i="54" s="1"/>
  <c r="U86" i="54"/>
  <c r="W86" i="54"/>
  <c r="W73" i="54"/>
  <c r="M50" i="54"/>
  <c r="X50" i="54" s="1"/>
  <c r="Y50" i="54" s="1"/>
  <c r="AH49" i="20" s="1"/>
  <c r="W44" i="54"/>
  <c r="AJ101" i="20"/>
  <c r="AF101" i="20"/>
  <c r="V101" i="20"/>
  <c r="R101" i="20"/>
  <c r="W99" i="20"/>
  <c r="S99" i="20"/>
  <c r="W98" i="20"/>
  <c r="S98" i="20"/>
  <c r="W97" i="20"/>
  <c r="S97" i="20"/>
  <c r="W94" i="20"/>
  <c r="S94" i="20"/>
  <c r="AJ87" i="20"/>
  <c r="AJ88" i="20" s="1"/>
  <c r="AF87" i="20"/>
  <c r="V87" i="20"/>
  <c r="R87" i="20"/>
  <c r="AJ79" i="20"/>
  <c r="AF79" i="20"/>
  <c r="V79" i="20"/>
  <c r="R79" i="20"/>
  <c r="S59" i="20"/>
  <c r="S58" i="20"/>
  <c r="T44" i="20"/>
  <c r="X44" i="20"/>
  <c r="AP44" i="20"/>
  <c r="H45" i="54"/>
  <c r="P45" i="54" s="1"/>
  <c r="Q45" i="54" s="1"/>
  <c r="R44" i="20"/>
  <c r="AJ44" i="20"/>
  <c r="U44" i="20"/>
  <c r="AR44" i="20"/>
  <c r="H44" i="54"/>
  <c r="P44" i="54" s="1"/>
  <c r="Q44" i="54" s="1"/>
  <c r="T43" i="20"/>
  <c r="X43" i="20"/>
  <c r="AP43" i="20"/>
  <c r="U43" i="20"/>
  <c r="AR43" i="20"/>
  <c r="R43" i="20"/>
  <c r="AJ43" i="20"/>
  <c r="T42" i="20"/>
  <c r="X42" i="20"/>
  <c r="AP42" i="20"/>
  <c r="R42" i="20"/>
  <c r="W42" i="20"/>
  <c r="AJ42" i="20"/>
  <c r="U42" i="20"/>
  <c r="AR42" i="20"/>
  <c r="H42" i="54"/>
  <c r="P42" i="54" s="1"/>
  <c r="Q42" i="54" s="1"/>
  <c r="T41" i="20"/>
  <c r="X41" i="20"/>
  <c r="AP41" i="20"/>
  <c r="U41" i="20"/>
  <c r="AR41" i="20"/>
  <c r="R41" i="20"/>
  <c r="AJ41" i="20"/>
  <c r="H41" i="54"/>
  <c r="P41" i="54" s="1"/>
  <c r="Q41" i="54" s="1"/>
  <c r="T40" i="20"/>
  <c r="X40" i="20"/>
  <c r="AP40" i="20"/>
  <c r="R40" i="20"/>
  <c r="W40" i="20"/>
  <c r="AJ40" i="20"/>
  <c r="U40" i="20"/>
  <c r="AR40" i="20"/>
  <c r="H40" i="54"/>
  <c r="P40" i="54" s="1"/>
  <c r="Q40" i="54" s="1"/>
  <c r="T39" i="20"/>
  <c r="X39" i="20"/>
  <c r="AP39" i="20"/>
  <c r="U39" i="20"/>
  <c r="AR39" i="20"/>
  <c r="R39" i="20"/>
  <c r="W39" i="20"/>
  <c r="AJ39" i="20"/>
  <c r="H39" i="54"/>
  <c r="P39" i="54" s="1"/>
  <c r="Q39" i="54" s="1"/>
  <c r="T38" i="20"/>
  <c r="X38" i="20"/>
  <c r="AP38" i="20"/>
  <c r="R38" i="20"/>
  <c r="W38" i="20"/>
  <c r="AJ38" i="20"/>
  <c r="U38" i="20"/>
  <c r="AR38" i="20"/>
  <c r="T37" i="20"/>
  <c r="X37" i="20"/>
  <c r="AP37" i="20"/>
  <c r="H38" i="54"/>
  <c r="P38" i="54" s="1"/>
  <c r="Q38" i="54" s="1"/>
  <c r="U37" i="20"/>
  <c r="AR37" i="20"/>
  <c r="R37" i="20"/>
  <c r="W37" i="20"/>
  <c r="AJ37" i="20"/>
  <c r="H37" i="54"/>
  <c r="P37" i="54" s="1"/>
  <c r="Q37" i="54" s="1"/>
  <c r="T36" i="20"/>
  <c r="X36" i="20"/>
  <c r="AP36" i="20"/>
  <c r="R36" i="20"/>
  <c r="W36" i="20"/>
  <c r="AJ36" i="20"/>
  <c r="U36" i="20"/>
  <c r="AR36" i="20"/>
  <c r="H36" i="54"/>
  <c r="P36" i="54" s="1"/>
  <c r="Q36" i="54" s="1"/>
  <c r="T35" i="20"/>
  <c r="X35" i="20"/>
  <c r="AP35" i="20"/>
  <c r="U35" i="20"/>
  <c r="AR35" i="20"/>
  <c r="R35" i="20"/>
  <c r="W35" i="20"/>
  <c r="AJ35" i="20"/>
  <c r="H35" i="54"/>
  <c r="P35" i="54" s="1"/>
  <c r="Q35" i="54" s="1"/>
  <c r="T34" i="20"/>
  <c r="X34" i="20"/>
  <c r="AP34" i="20"/>
  <c r="R34" i="20"/>
  <c r="W34" i="20"/>
  <c r="AJ34" i="20"/>
  <c r="U34" i="20"/>
  <c r="AR34" i="20"/>
  <c r="H34" i="54"/>
  <c r="P34" i="54" s="1"/>
  <c r="Q34" i="54" s="1"/>
  <c r="T33" i="20"/>
  <c r="X33" i="20"/>
  <c r="AP33" i="20"/>
  <c r="U33" i="20"/>
  <c r="AR33" i="20"/>
  <c r="R33" i="20"/>
  <c r="W33" i="20"/>
  <c r="AJ33" i="20"/>
  <c r="H33" i="54"/>
  <c r="P33" i="54" s="1"/>
  <c r="Q33" i="54" s="1"/>
  <c r="T32" i="20"/>
  <c r="X32" i="20"/>
  <c r="AP32" i="20"/>
  <c r="R32" i="20"/>
  <c r="W32" i="20"/>
  <c r="AJ32" i="20"/>
  <c r="U32" i="20"/>
  <c r="AR32" i="20"/>
  <c r="H32" i="54"/>
  <c r="P32" i="54" s="1"/>
  <c r="Q32" i="54" s="1"/>
  <c r="T31" i="20"/>
  <c r="X31" i="20"/>
  <c r="AP31" i="20"/>
  <c r="U31" i="20"/>
  <c r="AR31" i="20"/>
  <c r="R31" i="20"/>
  <c r="W31" i="20"/>
  <c r="AJ31" i="20"/>
  <c r="H31" i="54"/>
  <c r="P31" i="54" s="1"/>
  <c r="Q31" i="54" s="1"/>
  <c r="T30" i="20"/>
  <c r="X30" i="20"/>
  <c r="AP30" i="20"/>
  <c r="R30" i="20"/>
  <c r="W30" i="20"/>
  <c r="AJ30" i="20"/>
  <c r="U30" i="20"/>
  <c r="AR30" i="20"/>
  <c r="H30" i="54"/>
  <c r="P30" i="54" s="1"/>
  <c r="Q30" i="54" s="1"/>
  <c r="T29" i="20"/>
  <c r="X29" i="20"/>
  <c r="AP29" i="20"/>
  <c r="U29" i="20"/>
  <c r="AR29" i="20"/>
  <c r="R29" i="20"/>
  <c r="W29" i="20"/>
  <c r="AJ29" i="20"/>
  <c r="H29" i="54"/>
  <c r="P29" i="54" s="1"/>
  <c r="Q29" i="54" s="1"/>
  <c r="T28" i="20"/>
  <c r="X28" i="20"/>
  <c r="AP28" i="20"/>
  <c r="R28" i="20"/>
  <c r="W28" i="20"/>
  <c r="AJ28" i="20"/>
  <c r="U28" i="20"/>
  <c r="AR28" i="20"/>
  <c r="AJ23" i="20"/>
  <c r="W23" i="20"/>
  <c r="H20" i="54"/>
  <c r="P20" i="54" s="1"/>
  <c r="Q20" i="54" s="1"/>
  <c r="T19" i="20"/>
  <c r="X19" i="20"/>
  <c r="AP19" i="20"/>
  <c r="U19" i="20"/>
  <c r="AR19" i="20"/>
  <c r="R19" i="20"/>
  <c r="AF19" i="20"/>
  <c r="V19" i="20"/>
  <c r="AJ19" i="20"/>
  <c r="S19" i="20"/>
  <c r="AI19" i="20"/>
  <c r="H18" i="54"/>
  <c r="P18" i="54" s="1"/>
  <c r="Q18" i="54" s="1"/>
  <c r="T17" i="20"/>
  <c r="X17" i="20"/>
  <c r="AP17" i="20"/>
  <c r="U17" i="20"/>
  <c r="AR17" i="20"/>
  <c r="V17" i="20"/>
  <c r="AJ17" i="20"/>
  <c r="R17" i="20"/>
  <c r="AF17" i="20"/>
  <c r="S17" i="20"/>
  <c r="AI17" i="20"/>
  <c r="U140" i="54"/>
  <c r="U124" i="54"/>
  <c r="W124" i="54" s="1"/>
  <c r="Q124" i="54"/>
  <c r="Q123" i="54"/>
  <c r="U123" i="54"/>
  <c r="W123" i="54"/>
  <c r="U78" i="54"/>
  <c r="U75" i="54"/>
  <c r="W67" i="54"/>
  <c r="H27" i="54"/>
  <c r="P27" i="54" s="1"/>
  <c r="Q27" i="54" s="1"/>
  <c r="T26" i="20"/>
  <c r="X26" i="20"/>
  <c r="AP26" i="20"/>
  <c r="BN21" i="20"/>
  <c r="H19" i="54"/>
  <c r="P19" i="54" s="1"/>
  <c r="Q19" i="54" s="1"/>
  <c r="T18" i="20"/>
  <c r="X18" i="20"/>
  <c r="AP18" i="20"/>
  <c r="R18" i="20"/>
  <c r="W18" i="20"/>
  <c r="AJ18" i="20"/>
  <c r="S18" i="20"/>
  <c r="AI18" i="20"/>
  <c r="V18" i="20"/>
  <c r="AF18" i="20"/>
  <c r="AR18" i="20"/>
  <c r="U114" i="54"/>
  <c r="U109" i="54"/>
  <c r="W109" i="54" s="1"/>
  <c r="W102" i="54"/>
  <c r="W90" i="54"/>
  <c r="Q82" i="54"/>
  <c r="U82" i="54"/>
  <c r="U63" i="54"/>
  <c r="U62" i="54"/>
  <c r="W59" i="54"/>
  <c r="U41" i="54"/>
  <c r="H28" i="54"/>
  <c r="P28" i="54" s="1"/>
  <c r="Q28" i="54" s="1"/>
  <c r="T27" i="20"/>
  <c r="X27" i="20"/>
  <c r="AF26" i="20"/>
  <c r="S26" i="20"/>
  <c r="T25" i="20"/>
  <c r="X25" i="20"/>
  <c r="AP25" i="20"/>
  <c r="AT25" i="20" s="1"/>
  <c r="H26" i="54"/>
  <c r="P26" i="54" s="1"/>
  <c r="Q26" i="54" s="1"/>
  <c r="H21" i="54"/>
  <c r="P21" i="54" s="1"/>
  <c r="Q21" i="54" s="1"/>
  <c r="T20" i="20"/>
  <c r="X20" i="20"/>
  <c r="R20" i="20"/>
  <c r="W20" i="20"/>
  <c r="AJ20" i="20"/>
  <c r="V20" i="20"/>
  <c r="AF20" i="20"/>
  <c r="AP20" i="20"/>
  <c r="AT20" i="20" s="1"/>
  <c r="S20" i="20"/>
  <c r="AI20" i="20"/>
  <c r="U151" i="54"/>
  <c r="W151" i="54" s="1"/>
  <c r="M147" i="54"/>
  <c r="M119" i="54"/>
  <c r="U110" i="54"/>
  <c r="W95" i="54"/>
  <c r="X95" i="54" s="1"/>
  <c r="U84" i="54"/>
  <c r="W82" i="54"/>
  <c r="W78" i="54"/>
  <c r="W74" i="54"/>
  <c r="U20" i="54"/>
  <c r="H25" i="54"/>
  <c r="P25" i="54" s="1"/>
  <c r="Q25" i="54" s="1"/>
  <c r="T24" i="20"/>
  <c r="X24" i="20"/>
  <c r="AP24" i="20"/>
  <c r="H23" i="54"/>
  <c r="P23" i="54" s="1"/>
  <c r="Q23" i="54" s="1"/>
  <c r="T22" i="20"/>
  <c r="X22" i="20"/>
  <c r="AP22" i="20"/>
  <c r="H12" i="54"/>
  <c r="P12" i="54" s="1"/>
  <c r="Q12" i="54" s="1"/>
  <c r="R11" i="20"/>
  <c r="V11" i="20"/>
  <c r="AF11" i="20"/>
  <c r="AJ11" i="20"/>
  <c r="AJ12" i="20" s="1"/>
  <c r="Q11" i="20"/>
  <c r="AR11" i="20"/>
  <c r="M130" i="54"/>
  <c r="X130" i="54" s="1"/>
  <c r="Y130" i="54" s="1"/>
  <c r="AH129" i="20" s="1"/>
  <c r="Q120" i="54"/>
  <c r="M114" i="54"/>
  <c r="W99" i="54"/>
  <c r="M98" i="54"/>
  <c r="W84" i="54"/>
  <c r="U81" i="54"/>
  <c r="Q65" i="54"/>
  <c r="M59" i="54"/>
  <c r="U54" i="54"/>
  <c r="W54" i="54" s="1"/>
  <c r="W47" i="54"/>
  <c r="U43" i="54"/>
  <c r="W43" i="54" s="1"/>
  <c r="U36" i="54"/>
  <c r="W36" i="54" s="1"/>
  <c r="W20" i="54"/>
  <c r="AI11" i="20"/>
  <c r="AI12" i="20" s="1"/>
  <c r="T11" i="20"/>
  <c r="U146" i="54"/>
  <c r="X144" i="54"/>
  <c r="Y144" i="54" s="1"/>
  <c r="AH143" i="20" s="1"/>
  <c r="U142" i="54"/>
  <c r="Q135" i="54"/>
  <c r="W121" i="54"/>
  <c r="Q121" i="54"/>
  <c r="W119" i="54"/>
  <c r="M110" i="54"/>
  <c r="M109" i="54"/>
  <c r="W57" i="54"/>
  <c r="S56" i="54"/>
  <c r="AG55" i="20" s="1"/>
  <c r="M52" i="54"/>
  <c r="W33" i="54"/>
  <c r="H14" i="54"/>
  <c r="P14" i="54" s="1"/>
  <c r="Q14" i="54" s="1"/>
  <c r="U13" i="20"/>
  <c r="AI13" i="20"/>
  <c r="AI14" i="20" s="1"/>
  <c r="AR13" i="20"/>
  <c r="M137" i="54"/>
  <c r="M123" i="54"/>
  <c r="M62" i="54"/>
  <c r="W58" i="54"/>
  <c r="W51" i="54"/>
  <c r="W49" i="54"/>
  <c r="Q47" i="54"/>
  <c r="W45" i="54"/>
  <c r="W40" i="54"/>
  <c r="W37" i="54"/>
  <c r="M36" i="54"/>
  <c r="W34" i="54"/>
  <c r="W32" i="54"/>
  <c r="U25" i="54"/>
  <c r="W24" i="54"/>
  <c r="W18" i="54"/>
  <c r="W29" i="54"/>
  <c r="U26" i="54"/>
  <c r="M74" i="54"/>
  <c r="M58" i="54"/>
  <c r="M55" i="54"/>
  <c r="M51" i="54"/>
  <c r="W39" i="54"/>
  <c r="X21" i="54"/>
  <c r="Y21" i="54" s="1"/>
  <c r="AH20" i="20" s="1"/>
  <c r="U19" i="54"/>
  <c r="U14" i="54"/>
  <c r="W14" i="54" s="1"/>
  <c r="M28" i="54"/>
  <c r="X28" i="54" s="1"/>
  <c r="Y28" i="54" s="1"/>
  <c r="AH27" i="20" s="1"/>
  <c r="M26" i="54"/>
  <c r="M24" i="54"/>
  <c r="M33" i="54"/>
  <c r="M29" i="54"/>
  <c r="M23" i="54"/>
  <c r="X23" i="54" s="1"/>
  <c r="Y23" i="54" s="1"/>
  <c r="AH22" i="20" s="1"/>
  <c r="AX119" i="23"/>
  <c r="AY119" i="23" s="1"/>
  <c r="AX115" i="23"/>
  <c r="AY115" i="23" s="1"/>
  <c r="AX109" i="23"/>
  <c r="AY109" i="23" s="1"/>
  <c r="AX107" i="23"/>
  <c r="AY107" i="23" s="1"/>
  <c r="AZ107" i="23" s="1"/>
  <c r="AX105" i="23"/>
  <c r="AY105" i="23" s="1"/>
  <c r="AZ105" i="23" s="1"/>
  <c r="AX101" i="23"/>
  <c r="AX97" i="23"/>
  <c r="AY97" i="23" s="1"/>
  <c r="AX95" i="23"/>
  <c r="AY95" i="23" s="1"/>
  <c r="AZ95" i="23" s="1"/>
  <c r="AX87" i="23"/>
  <c r="AY87" i="23" s="1"/>
  <c r="AX83" i="23"/>
  <c r="AY83" i="23" s="1"/>
  <c r="AX77" i="23"/>
  <c r="AY77" i="23" s="1"/>
  <c r="AZ77" i="23" s="1"/>
  <c r="AX75" i="23"/>
  <c r="AY75" i="23" s="1"/>
  <c r="AX73" i="23"/>
  <c r="AY73" i="23" s="1"/>
  <c r="AX69" i="23"/>
  <c r="AY69" i="23" s="1"/>
  <c r="AX65" i="23"/>
  <c r="AY65" i="23" s="1"/>
  <c r="AX63" i="23"/>
  <c r="AY63" i="23" s="1"/>
  <c r="AX55" i="23"/>
  <c r="AY55" i="23" s="1"/>
  <c r="AZ55" i="23" s="1"/>
  <c r="AX51" i="23"/>
  <c r="AX45" i="23"/>
  <c r="AY45" i="23" s="1"/>
  <c r="AX43" i="23"/>
  <c r="AY43" i="23" s="1"/>
  <c r="AZ43" i="23" s="1"/>
  <c r="AX41" i="23"/>
  <c r="AY41" i="23" s="1"/>
  <c r="AZ41" i="23" s="1"/>
  <c r="AX37" i="23"/>
  <c r="AY37" i="23" s="1"/>
  <c r="AZ37" i="23" s="1"/>
  <c r="BA37" i="23" s="1"/>
  <c r="AX33" i="23"/>
  <c r="AY33" i="23" s="1"/>
  <c r="AZ33" i="23" s="1"/>
  <c r="AX31" i="23"/>
  <c r="AY31" i="23" s="1"/>
  <c r="AX23" i="23"/>
  <c r="AY23" i="23" s="1"/>
  <c r="AZ23" i="23" s="1"/>
  <c r="AX19" i="23"/>
  <c r="AY19" i="23" s="1"/>
  <c r="AX13" i="23"/>
  <c r="AY13" i="23" s="1"/>
  <c r="AZ13" i="23" s="1"/>
  <c r="T123" i="23"/>
  <c r="U123" i="23" s="1"/>
  <c r="V123" i="23" s="1"/>
  <c r="T119" i="23"/>
  <c r="U119" i="23" s="1"/>
  <c r="T115" i="23"/>
  <c r="U115" i="23" s="1"/>
  <c r="T111" i="23"/>
  <c r="U111" i="23" s="1"/>
  <c r="T107" i="23"/>
  <c r="U107" i="23" s="1"/>
  <c r="T103" i="23"/>
  <c r="U103" i="23" s="1"/>
  <c r="T99" i="23"/>
  <c r="U99" i="23" s="1"/>
  <c r="T95" i="23"/>
  <c r="U95" i="23" s="1"/>
  <c r="T91" i="23"/>
  <c r="U91" i="23" s="1"/>
  <c r="T87" i="23"/>
  <c r="U87" i="23" s="1"/>
  <c r="V87" i="23" s="1"/>
  <c r="T83" i="23"/>
  <c r="U83" i="23" s="1"/>
  <c r="T79" i="23"/>
  <c r="U79" i="23" s="1"/>
  <c r="T75" i="23"/>
  <c r="U75" i="23" s="1"/>
  <c r="T71" i="23"/>
  <c r="U71" i="23" s="1"/>
  <c r="V71" i="23" s="1"/>
  <c r="T67" i="23"/>
  <c r="U67" i="23" s="1"/>
  <c r="T63" i="23"/>
  <c r="U63" i="23" s="1"/>
  <c r="V63" i="23" s="1"/>
  <c r="T59" i="23"/>
  <c r="U59" i="23" s="1"/>
  <c r="V59" i="23" s="1"/>
  <c r="T55" i="23"/>
  <c r="T51" i="23"/>
  <c r="T47" i="23"/>
  <c r="U47" i="23" s="1"/>
  <c r="V47" i="23" s="1"/>
  <c r="T43" i="23"/>
  <c r="U43" i="23" s="1"/>
  <c r="V43" i="23" s="1"/>
  <c r="T39" i="23"/>
  <c r="U39" i="23" s="1"/>
  <c r="T35" i="23"/>
  <c r="U35" i="23" s="1"/>
  <c r="T31" i="23"/>
  <c r="U31" i="23" s="1"/>
  <c r="T27" i="23"/>
  <c r="U27" i="23" s="1"/>
  <c r="V27" i="23" s="1"/>
  <c r="T23" i="23"/>
  <c r="U23" i="23" s="1"/>
  <c r="T19" i="23"/>
  <c r="U19" i="23" s="1"/>
  <c r="V19" i="23" s="1"/>
  <c r="T15" i="23"/>
  <c r="U15" i="23" s="1"/>
  <c r="V15" i="23" s="1"/>
  <c r="AD120" i="23"/>
  <c r="AE120" i="23" s="1"/>
  <c r="AD118" i="23"/>
  <c r="AE118" i="23" s="1"/>
  <c r="AF118" i="23" s="1"/>
  <c r="AD112" i="23"/>
  <c r="AE112" i="23" s="1"/>
  <c r="AD110" i="23"/>
  <c r="AE110" i="23" s="1"/>
  <c r="AD104" i="23"/>
  <c r="AE104" i="23" s="1"/>
  <c r="AF104" i="23" s="1"/>
  <c r="AG104" i="23" s="1"/>
  <c r="AD102" i="23"/>
  <c r="AE102" i="23" s="1"/>
  <c r="AF102" i="23" s="1"/>
  <c r="AD96" i="23"/>
  <c r="AE96" i="23" s="1"/>
  <c r="AD94" i="23"/>
  <c r="AE94" i="23" s="1"/>
  <c r="AD88" i="23"/>
  <c r="AE88" i="23" s="1"/>
  <c r="AD86" i="23"/>
  <c r="AE86" i="23" s="1"/>
  <c r="AF86" i="23" s="1"/>
  <c r="AD80" i="23"/>
  <c r="AD78" i="23"/>
  <c r="AE78" i="23" s="1"/>
  <c r="AF78" i="23" s="1"/>
  <c r="AD72" i="23"/>
  <c r="AE72" i="23" s="1"/>
  <c r="AF72" i="23" s="1"/>
  <c r="AD70" i="23"/>
  <c r="AE70" i="23" s="1"/>
  <c r="AD64" i="23"/>
  <c r="AD62" i="23"/>
  <c r="AE62" i="23" s="1"/>
  <c r="AF62" i="23" s="1"/>
  <c r="AD56" i="23"/>
  <c r="AE56" i="23" s="1"/>
  <c r="AD54" i="23"/>
  <c r="AE54" i="23" s="1"/>
  <c r="AD48" i="23"/>
  <c r="AE48" i="23" s="1"/>
  <c r="AD46" i="23"/>
  <c r="AE46" i="23" s="1"/>
  <c r="AD40" i="23"/>
  <c r="AE40" i="23" s="1"/>
  <c r="AD38" i="23"/>
  <c r="AE38" i="23" s="1"/>
  <c r="AF38" i="23" s="1"/>
  <c r="AD32" i="23"/>
  <c r="AD30" i="23"/>
  <c r="AE30" i="23" s="1"/>
  <c r="AF30" i="23" s="1"/>
  <c r="AG30" i="23" s="1"/>
  <c r="AD24" i="23"/>
  <c r="AE24" i="23" s="1"/>
  <c r="AD22" i="23"/>
  <c r="AE22" i="23" s="1"/>
  <c r="AF22" i="23" s="1"/>
  <c r="AG22" i="23" s="1"/>
  <c r="AD16" i="23"/>
  <c r="AD14" i="23"/>
  <c r="AE14" i="23" s="1"/>
  <c r="AP58" i="23"/>
  <c r="AQ58" i="23" s="1"/>
  <c r="V76" i="23"/>
  <c r="W76" i="23" s="1"/>
  <c r="V95" i="23"/>
  <c r="W95" i="23" s="1"/>
  <c r="V101" i="23"/>
  <c r="W101" i="23" s="1"/>
  <c r="V42" i="23"/>
  <c r="W42" i="23" s="1"/>
  <c r="AP120" i="23"/>
  <c r="L66" i="23"/>
  <c r="AF60" i="23"/>
  <c r="AG60" i="23" s="1"/>
  <c r="AF41" i="23"/>
  <c r="AG41" i="23" s="1"/>
  <c r="AZ115" i="23"/>
  <c r="AP112" i="23"/>
  <c r="AF20" i="23"/>
  <c r="AG20" i="23" s="1"/>
  <c r="AF13" i="23"/>
  <c r="V11" i="23"/>
  <c r="W11" i="23" s="1"/>
  <c r="AZ113" i="23"/>
  <c r="L106" i="23"/>
  <c r="M106" i="23" s="1"/>
  <c r="AP72" i="23"/>
  <c r="AZ66" i="23"/>
  <c r="L22" i="23"/>
  <c r="AZ112" i="23"/>
  <c r="BA112" i="23" s="1"/>
  <c r="AF108" i="23"/>
  <c r="AG108" i="23" s="1"/>
  <c r="V107" i="23"/>
  <c r="W107" i="23" s="1"/>
  <c r="L100" i="23"/>
  <c r="M100" i="23" s="1"/>
  <c r="AZ57" i="23"/>
  <c r="L36" i="23"/>
  <c r="AO100" i="23"/>
  <c r="AP100" i="23" s="1"/>
  <c r="U94" i="23"/>
  <c r="V94" i="23" s="1"/>
  <c r="W94" i="23" s="1"/>
  <c r="U50" i="23"/>
  <c r="V50" i="23" s="1"/>
  <c r="AE49" i="23"/>
  <c r="AF49" i="23" s="1"/>
  <c r="K40" i="23"/>
  <c r="L40" i="23" s="1"/>
  <c r="BA17" i="23"/>
  <c r="AE115" i="23"/>
  <c r="AF115" i="23" s="1"/>
  <c r="AG115" i="23" s="1"/>
  <c r="AY106" i="23"/>
  <c r="AZ106" i="23" s="1"/>
  <c r="AP101" i="23"/>
  <c r="V99" i="23"/>
  <c r="W99" i="23" s="1"/>
  <c r="K94" i="23"/>
  <c r="L94" i="23" s="1"/>
  <c r="AO74" i="23"/>
  <c r="AP74" i="23" s="1"/>
  <c r="K74" i="23"/>
  <c r="L74" i="23" s="1"/>
  <c r="M74" i="23" s="1"/>
  <c r="U51" i="23"/>
  <c r="V51" i="23" s="1"/>
  <c r="W51" i="23" s="1"/>
  <c r="AZ25" i="23"/>
  <c r="AO22" i="23"/>
  <c r="AP22" i="23" s="1"/>
  <c r="AZ20" i="23"/>
  <c r="U18" i="23"/>
  <c r="V18" i="23" s="1"/>
  <c r="U100" i="23"/>
  <c r="V100" i="23" s="1"/>
  <c r="AE97" i="23"/>
  <c r="AF97" i="23" s="1"/>
  <c r="AY61" i="23"/>
  <c r="AZ61" i="23" s="1"/>
  <c r="AE59" i="23"/>
  <c r="AF59" i="23" s="1"/>
  <c r="U58" i="23"/>
  <c r="V58" i="23" s="1"/>
  <c r="K38" i="23"/>
  <c r="L38" i="23" s="1"/>
  <c r="AO12" i="23"/>
  <c r="AP12" i="23" s="1"/>
  <c r="BA81" i="23"/>
  <c r="AZ121" i="23"/>
  <c r="AF121" i="23"/>
  <c r="AG121" i="23" s="1"/>
  <c r="AY100" i="23"/>
  <c r="AZ100" i="23" s="1"/>
  <c r="AO90" i="23"/>
  <c r="AP90" i="23" s="1"/>
  <c r="AZ89" i="23"/>
  <c r="M72" i="23"/>
  <c r="M71" i="23"/>
  <c r="AF65" i="23"/>
  <c r="AG65" i="23" s="1"/>
  <c r="U22" i="23"/>
  <c r="V22" i="23" s="1"/>
  <c r="AB93" i="23"/>
  <c r="AL93" i="23" s="1"/>
  <c r="AV93" i="23" s="1"/>
  <c r="AO106" i="23"/>
  <c r="AP106" i="23" s="1"/>
  <c r="AG99" i="23"/>
  <c r="AY93" i="23"/>
  <c r="AZ93" i="23" s="1"/>
  <c r="K90" i="23"/>
  <c r="L90" i="23" s="1"/>
  <c r="M90" i="23" s="1"/>
  <c r="AO18" i="23"/>
  <c r="AP18" i="23" s="1"/>
  <c r="AZ118" i="23"/>
  <c r="AP102" i="23"/>
  <c r="AQ102" i="23" s="1"/>
  <c r="AY90" i="23"/>
  <c r="AZ90" i="23" s="1"/>
  <c r="AP83" i="23"/>
  <c r="K61" i="23"/>
  <c r="L61" i="23" s="1"/>
  <c r="AL60" i="23"/>
  <c r="AV60" i="23" s="1"/>
  <c r="AG81" i="23"/>
  <c r="AG17" i="23"/>
  <c r="AG84" i="23"/>
  <c r="AB25" i="23"/>
  <c r="AL25" i="23" s="1"/>
  <c r="AB21" i="23"/>
  <c r="AL21" i="23" s="1"/>
  <c r="AV21" i="23" s="1"/>
  <c r="AY82" i="23"/>
  <c r="AZ82" i="23" s="1"/>
  <c r="AY86" i="23"/>
  <c r="AZ86" i="23" s="1"/>
  <c r="BA86" i="23" s="1"/>
  <c r="AO82" i="23"/>
  <c r="W46" i="23"/>
  <c r="AZ122" i="23"/>
  <c r="V118" i="23"/>
  <c r="W118" i="23" s="1"/>
  <c r="V112" i="23"/>
  <c r="W112" i="23" s="1"/>
  <c r="AZ111" i="23"/>
  <c r="AG105" i="23"/>
  <c r="AY101" i="23"/>
  <c r="AZ101" i="23" s="1"/>
  <c r="AY99" i="23"/>
  <c r="AF96" i="23"/>
  <c r="AZ94" i="23"/>
  <c r="BA94" i="23" s="1"/>
  <c r="AE92" i="23"/>
  <c r="AF92" i="23" s="1"/>
  <c r="L87" i="23"/>
  <c r="U82" i="23"/>
  <c r="V82" i="23" s="1"/>
  <c r="W82" i="23" s="1"/>
  <c r="AE80" i="23"/>
  <c r="AF80" i="23" s="1"/>
  <c r="AZ21" i="23"/>
  <c r="L105" i="23"/>
  <c r="M105" i="23" s="1"/>
  <c r="L86" i="23"/>
  <c r="M86" i="23" s="1"/>
  <c r="AZ83" i="23"/>
  <c r="AP77" i="23"/>
  <c r="AY53" i="23"/>
  <c r="AZ53" i="23" s="1"/>
  <c r="AY40" i="23"/>
  <c r="AZ40" i="23" s="1"/>
  <c r="AE28" i="23"/>
  <c r="AF28" i="23" s="1"/>
  <c r="W29" i="23"/>
  <c r="W86" i="23"/>
  <c r="AO78" i="23"/>
  <c r="AP78" i="23" s="1"/>
  <c r="AQ78" i="23" s="1"/>
  <c r="AO76" i="23"/>
  <c r="AP76" i="23" s="1"/>
  <c r="AY72" i="23"/>
  <c r="AZ72" i="23" s="1"/>
  <c r="V62" i="23"/>
  <c r="W62" i="23" s="1"/>
  <c r="AO61" i="23"/>
  <c r="AP61" i="23" s="1"/>
  <c r="AB57" i="23"/>
  <c r="AL57" i="23" s="1"/>
  <c r="AV57" i="23" s="1"/>
  <c r="AO54" i="23"/>
  <c r="AP54" i="23" s="1"/>
  <c r="U36" i="23"/>
  <c r="AO34" i="23"/>
  <c r="AP34" i="23" s="1"/>
  <c r="AO26" i="23"/>
  <c r="AP26" i="23" s="1"/>
  <c r="L76" i="23"/>
  <c r="AF68" i="23"/>
  <c r="AZ62" i="23"/>
  <c r="K55" i="23"/>
  <c r="L55" i="23" s="1"/>
  <c r="K50" i="23"/>
  <c r="L50" i="23" s="1"/>
  <c r="AE45" i="23"/>
  <c r="AF45" i="23" s="1"/>
  <c r="AG45" i="23" s="1"/>
  <c r="U34" i="23"/>
  <c r="V34" i="23" s="1"/>
  <c r="AF29" i="23"/>
  <c r="AG29" i="23" s="1"/>
  <c r="U24" i="23"/>
  <c r="V24" i="23" s="1"/>
  <c r="U20" i="23"/>
  <c r="V20" i="23" s="1"/>
  <c r="L77" i="23"/>
  <c r="AF57" i="23"/>
  <c r="AY38" i="23"/>
  <c r="AZ38" i="23" s="1"/>
  <c r="AF33" i="23"/>
  <c r="AG33" i="23" s="1"/>
  <c r="AO24" i="23"/>
  <c r="AP24" i="23" s="1"/>
  <c r="AO21" i="23"/>
  <c r="AP37" i="23"/>
  <c r="AQ37" i="23" s="1"/>
  <c r="M37" i="23"/>
  <c r="K33" i="23"/>
  <c r="L33" i="23" s="1"/>
  <c r="AF21" i="23"/>
  <c r="K14" i="23"/>
  <c r="L14" i="23" s="1"/>
  <c r="M29" i="23"/>
  <c r="L21" i="23"/>
  <c r="M21" i="23" s="1"/>
  <c r="M46" i="23"/>
  <c r="L115" i="23"/>
  <c r="M115" i="23" s="1"/>
  <c r="L122" i="23"/>
  <c r="L62" i="23"/>
  <c r="L45" i="23"/>
  <c r="M45" i="23" s="1"/>
  <c r="L118" i="23"/>
  <c r="L107" i="23"/>
  <c r="L95" i="23"/>
  <c r="L89" i="23"/>
  <c r="M89" i="23" s="1"/>
  <c r="L65" i="23"/>
  <c r="M65" i="23" s="1"/>
  <c r="L54" i="23"/>
  <c r="M54" i="23" s="1"/>
  <c r="L53" i="23"/>
  <c r="M53" i="23" s="1"/>
  <c r="L121" i="23"/>
  <c r="M121" i="23" s="1"/>
  <c r="L112" i="23"/>
  <c r="L97" i="23"/>
  <c r="L82" i="23"/>
  <c r="L64" i="23"/>
  <c r="AL120" i="23"/>
  <c r="AV120" i="23" s="1"/>
  <c r="BA120" i="23" s="1"/>
  <c r="AB68" i="23"/>
  <c r="W68" i="23"/>
  <c r="AV106" i="23"/>
  <c r="AV76" i="23"/>
  <c r="AL65" i="23"/>
  <c r="AV43" i="23"/>
  <c r="AL90" i="23"/>
  <c r="AV87" i="23"/>
  <c r="AB72" i="23"/>
  <c r="W72" i="23"/>
  <c r="AL115" i="23"/>
  <c r="AV115" i="23" s="1"/>
  <c r="AB42" i="23"/>
  <c r="AL42" i="23" s="1"/>
  <c r="AB118" i="23"/>
  <c r="AB111" i="23"/>
  <c r="AV82" i="23"/>
  <c r="AV54" i="23"/>
  <c r="BA54" i="23" s="1"/>
  <c r="R74" i="23"/>
  <c r="AB74" i="23" s="1"/>
  <c r="R97" i="23"/>
  <c r="AB97" i="23" s="1"/>
  <c r="AL96" i="23"/>
  <c r="AV96" i="23" s="1"/>
  <c r="AV58" i="23"/>
  <c r="AB18" i="23"/>
  <c r="AL18" i="23" s="1"/>
  <c r="AV18" i="23" s="1"/>
  <c r="AV102" i="23"/>
  <c r="BA102" i="23" s="1"/>
  <c r="AV78" i="23"/>
  <c r="BA78" i="23" s="1"/>
  <c r="AV108" i="23"/>
  <c r="BA108" i="23" s="1"/>
  <c r="AV84" i="23"/>
  <c r="BA84" i="23" s="1"/>
  <c r="AQ84" i="23"/>
  <c r="AV114" i="23"/>
  <c r="BA114" i="23" s="1"/>
  <c r="AQ114" i="23"/>
  <c r="AG117" i="23"/>
  <c r="AY70" i="23"/>
  <c r="AZ70" i="23" s="1"/>
  <c r="AB66" i="23"/>
  <c r="V64" i="23"/>
  <c r="K59" i="23"/>
  <c r="V54" i="23"/>
  <c r="W54" i="23" s="1"/>
  <c r="AE53" i="23"/>
  <c r="AF53" i="23" s="1"/>
  <c r="AY51" i="23"/>
  <c r="AZ51" i="23" s="1"/>
  <c r="K51" i="23"/>
  <c r="L51" i="23" s="1"/>
  <c r="AB50" i="23"/>
  <c r="AE47" i="23"/>
  <c r="AF47" i="23" s="1"/>
  <c r="AL41" i="23"/>
  <c r="AL38" i="23"/>
  <c r="AL32" i="23"/>
  <c r="K30" i="23"/>
  <c r="L30" i="23" s="1"/>
  <c r="AL29" i="23"/>
  <c r="L28" i="23"/>
  <c r="M28" i="23" s="1"/>
  <c r="AY26" i="23"/>
  <c r="AZ26" i="23" s="1"/>
  <c r="AY15" i="23"/>
  <c r="AZ15" i="23" s="1"/>
  <c r="AV14" i="23"/>
  <c r="AB123" i="23"/>
  <c r="AE116" i="23"/>
  <c r="AF116" i="23" s="1"/>
  <c r="L116" i="23"/>
  <c r="AE109" i="23"/>
  <c r="AF109" i="23" s="1"/>
  <c r="L109" i="23"/>
  <c r="AE103" i="23"/>
  <c r="L103" i="23"/>
  <c r="AE98" i="23"/>
  <c r="AF98" i="23" s="1"/>
  <c r="L98" i="23"/>
  <c r="AE91" i="23"/>
  <c r="L91" i="23"/>
  <c r="AE85" i="23"/>
  <c r="AF85" i="23" s="1"/>
  <c r="L85" i="23"/>
  <c r="AE79" i="23"/>
  <c r="AF79" i="23" s="1"/>
  <c r="L79" i="23"/>
  <c r="L70" i="23"/>
  <c r="AO66" i="23"/>
  <c r="AP66" i="23" s="1"/>
  <c r="AE64" i="23"/>
  <c r="AB62" i="23"/>
  <c r="AF61" i="23"/>
  <c r="AY47" i="23"/>
  <c r="AZ47" i="23" s="1"/>
  <c r="AL47" i="23"/>
  <c r="K47" i="23"/>
  <c r="L47" i="23" s="1"/>
  <c r="K43" i="23"/>
  <c r="L43" i="23" s="1"/>
  <c r="U30" i="23"/>
  <c r="V30" i="23" s="1"/>
  <c r="AY28" i="23"/>
  <c r="AZ28" i="23" s="1"/>
  <c r="AE23" i="23"/>
  <c r="AE16" i="23"/>
  <c r="AF16" i="23" s="1"/>
  <c r="AG16" i="23" s="1"/>
  <c r="K15" i="23"/>
  <c r="L15" i="23" s="1"/>
  <c r="U14" i="23"/>
  <c r="V14" i="23" s="1"/>
  <c r="V122" i="23"/>
  <c r="L120" i="23"/>
  <c r="M120" i="23" s="1"/>
  <c r="K119" i="23"/>
  <c r="AL117" i="23"/>
  <c r="L117" i="23"/>
  <c r="AZ116" i="23"/>
  <c r="BA116" i="23" s="1"/>
  <c r="L114" i="23"/>
  <c r="M114" i="23" s="1"/>
  <c r="M113" i="23"/>
  <c r="AL110" i="23"/>
  <c r="V110" i="23"/>
  <c r="L110" i="23"/>
  <c r="L108" i="23"/>
  <c r="M108" i="23" s="1"/>
  <c r="AQ105" i="23"/>
  <c r="AL104" i="23"/>
  <c r="V104" i="23"/>
  <c r="L104" i="23"/>
  <c r="AZ103" i="23"/>
  <c r="BA103" i="23" s="1"/>
  <c r="L102" i="23"/>
  <c r="M102" i="23" s="1"/>
  <c r="M101" i="23"/>
  <c r="AZ98" i="23"/>
  <c r="BA98" i="23" s="1"/>
  <c r="L96" i="23"/>
  <c r="M96" i="23" s="1"/>
  <c r="AL92" i="23"/>
  <c r="V92" i="23"/>
  <c r="W92" i="23" s="1"/>
  <c r="L92" i="23"/>
  <c r="AZ91" i="23"/>
  <c r="BA91" i="23" s="1"/>
  <c r="K88" i="23"/>
  <c r="L88" i="23" s="1"/>
  <c r="AQ86" i="23"/>
  <c r="AZ85" i="23"/>
  <c r="BA85" i="23" s="1"/>
  <c r="L84" i="23"/>
  <c r="M84" i="23" s="1"/>
  <c r="M83" i="23"/>
  <c r="AQ81" i="23"/>
  <c r="AL80" i="23"/>
  <c r="V80" i="23"/>
  <c r="L80" i="23"/>
  <c r="AZ79" i="23"/>
  <c r="BA79" i="23" s="1"/>
  <c r="L78" i="23"/>
  <c r="M78" i="23" s="1"/>
  <c r="AL75" i="23"/>
  <c r="L75" i="23"/>
  <c r="L73" i="23"/>
  <c r="AE71" i="23"/>
  <c r="AF71" i="23" s="1"/>
  <c r="AL70" i="23"/>
  <c r="AP69" i="23"/>
  <c r="AQ69" i="23" s="1"/>
  <c r="AF69" i="23"/>
  <c r="U66" i="23"/>
  <c r="V66" i="23" s="1"/>
  <c r="AL55" i="23"/>
  <c r="AO53" i="23"/>
  <c r="AB53" i="23"/>
  <c r="AL51" i="23"/>
  <c r="V48" i="23"/>
  <c r="AE36" i="23"/>
  <c r="L25" i="23"/>
  <c r="M25" i="23" s="1"/>
  <c r="AY16" i="23"/>
  <c r="AZ16" i="23" s="1"/>
  <c r="BA16" i="23" s="1"/>
  <c r="L123" i="23"/>
  <c r="M123" i="23" s="1"/>
  <c r="AB122" i="23"/>
  <c r="AV121" i="23"/>
  <c r="W120" i="23"/>
  <c r="AF119" i="23"/>
  <c r="AG119" i="23" s="1"/>
  <c r="AZ117" i="23"/>
  <c r="AP117" i="23"/>
  <c r="AP116" i="23"/>
  <c r="AQ116" i="23" s="1"/>
  <c r="V115" i="23"/>
  <c r="W114" i="23"/>
  <c r="AB113" i="23"/>
  <c r="M111" i="23"/>
  <c r="AZ110" i="23"/>
  <c r="AP110" i="23"/>
  <c r="AP109" i="23"/>
  <c r="AQ109" i="23" s="1"/>
  <c r="W108" i="23"/>
  <c r="AE107" i="23"/>
  <c r="AB107" i="23"/>
  <c r="AZ104" i="23"/>
  <c r="AP104" i="23"/>
  <c r="AP103" i="23"/>
  <c r="AQ103" i="23" s="1"/>
  <c r="W102" i="23"/>
  <c r="AE101" i="23"/>
  <c r="AF101" i="23" s="1"/>
  <c r="AB101" i="23"/>
  <c r="AF100" i="23"/>
  <c r="M99" i="23"/>
  <c r="AP98" i="23"/>
  <c r="AQ98" i="23" s="1"/>
  <c r="W96" i="23"/>
  <c r="AE95" i="23"/>
  <c r="AF95" i="23" s="1"/>
  <c r="AB95" i="23"/>
  <c r="M93" i="23"/>
  <c r="AZ92" i="23"/>
  <c r="AP92" i="23"/>
  <c r="V90" i="23"/>
  <c r="W90" i="23" s="1"/>
  <c r="AE89" i="23"/>
  <c r="AF89" i="23" s="1"/>
  <c r="AB89" i="23"/>
  <c r="AY88" i="23"/>
  <c r="AZ88" i="23" s="1"/>
  <c r="U88" i="23"/>
  <c r="V88" i="23" s="1"/>
  <c r="AF87" i="23"/>
  <c r="AG87" i="23" s="1"/>
  <c r="W84" i="23"/>
  <c r="AE83" i="23"/>
  <c r="AB83" i="23"/>
  <c r="M81" i="23"/>
  <c r="AZ80" i="23"/>
  <c r="AP80" i="23"/>
  <c r="W78" i="23"/>
  <c r="AE77" i="23"/>
  <c r="AF77" i="23" s="1"/>
  <c r="AB77" i="23"/>
  <c r="AF76" i="23"/>
  <c r="AG76" i="23" s="1"/>
  <c r="V74" i="23"/>
  <c r="AO70" i="23"/>
  <c r="L68" i="23"/>
  <c r="AZ67" i="23"/>
  <c r="BA67" i="23" s="1"/>
  <c r="AY60" i="23"/>
  <c r="AZ60" i="23" s="1"/>
  <c r="AY59" i="23"/>
  <c r="AZ59" i="23" s="1"/>
  <c r="AB59" i="23"/>
  <c r="V56" i="23"/>
  <c r="AZ45" i="23"/>
  <c r="AL45" i="23"/>
  <c r="AE43" i="23"/>
  <c r="AF43" i="23" s="1"/>
  <c r="AG43" i="23" s="1"/>
  <c r="AY34" i="23"/>
  <c r="AZ34" i="23" s="1"/>
  <c r="V28" i="23"/>
  <c r="AL64" i="23"/>
  <c r="AO56" i="23"/>
  <c r="AP56" i="23" s="1"/>
  <c r="U55" i="23"/>
  <c r="V55" i="23" s="1"/>
  <c r="AO52" i="23"/>
  <c r="AP52" i="23" s="1"/>
  <c r="AF52" i="23"/>
  <c r="AG52" i="23" s="1"/>
  <c r="AQ49" i="23"/>
  <c r="AY48" i="23"/>
  <c r="AZ48" i="23" s="1"/>
  <c r="K48" i="23"/>
  <c r="L48" i="23" s="1"/>
  <c r="AP45" i="23"/>
  <c r="AO42" i="23"/>
  <c r="AP42" i="23" s="1"/>
  <c r="L41" i="23"/>
  <c r="U40" i="23"/>
  <c r="V40" i="23" s="1"/>
  <c r="W40" i="23" s="1"/>
  <c r="AP36" i="23"/>
  <c r="K34" i="23"/>
  <c r="AL33" i="23"/>
  <c r="AE32" i="23"/>
  <c r="K32" i="23"/>
  <c r="L32" i="23" s="1"/>
  <c r="AY30" i="23"/>
  <c r="AZ30" i="23" s="1"/>
  <c r="L24" i="23"/>
  <c r="V98" i="23"/>
  <c r="AP88" i="23"/>
  <c r="AQ88" i="23" s="1"/>
  <c r="L67" i="23"/>
  <c r="V65" i="23"/>
  <c r="AZ64" i="23"/>
  <c r="AO60" i="23"/>
  <c r="AP60" i="23" s="1"/>
  <c r="K60" i="23"/>
  <c r="M57" i="23"/>
  <c r="AE55" i="23"/>
  <c r="AE51" i="23"/>
  <c r="AF51" i="23" s="1"/>
  <c r="AG51" i="23" s="1"/>
  <c r="AY49" i="23"/>
  <c r="AZ49" i="23" s="1"/>
  <c r="BA49" i="23" s="1"/>
  <c r="K49" i="23"/>
  <c r="L49" i="23" s="1"/>
  <c r="AO48" i="23"/>
  <c r="AP48" i="23" s="1"/>
  <c r="AL46" i="23"/>
  <c r="AP44" i="23"/>
  <c r="AQ44" i="23" s="1"/>
  <c r="U44" i="23"/>
  <c r="V44" i="23" s="1"/>
  <c r="K44" i="23"/>
  <c r="L44" i="23" s="1"/>
  <c r="AL28" i="23"/>
  <c r="AE27" i="23"/>
  <c r="AB26" i="23"/>
  <c r="K26" i="23"/>
  <c r="AY24" i="23"/>
  <c r="AO13" i="23"/>
  <c r="AP13" i="23" s="1"/>
  <c r="AF73" i="23"/>
  <c r="AG73" i="23" s="1"/>
  <c r="AZ71" i="23"/>
  <c r="W70" i="23"/>
  <c r="V67" i="23"/>
  <c r="W67" i="23" s="1"/>
  <c r="AP64" i="23"/>
  <c r="AF63" i="23"/>
  <c r="U60" i="23"/>
  <c r="K58" i="23"/>
  <c r="L58" i="23" s="1"/>
  <c r="AZ56" i="23"/>
  <c r="BA56" i="23" s="1"/>
  <c r="L56" i="23"/>
  <c r="AO55" i="23"/>
  <c r="AP55" i="23" s="1"/>
  <c r="U52" i="23"/>
  <c r="AL40" i="23"/>
  <c r="V39" i="23"/>
  <c r="AB36" i="23"/>
  <c r="AL34" i="23"/>
  <c r="AP32" i="23"/>
  <c r="AO30" i="23"/>
  <c r="AP30" i="23" s="1"/>
  <c r="AL30" i="23"/>
  <c r="U26" i="23"/>
  <c r="V26" i="23" s="1"/>
  <c r="AB24" i="23"/>
  <c r="AZ69" i="23"/>
  <c r="L69" i="23"/>
  <c r="M69" i="23" s="1"/>
  <c r="AF67" i="23"/>
  <c r="L63" i="23"/>
  <c r="AZ52" i="23"/>
  <c r="BA52" i="23" s="1"/>
  <c r="L52" i="23"/>
  <c r="M52" i="23" s="1"/>
  <c r="AF48" i="23"/>
  <c r="U38" i="23"/>
  <c r="V38" i="23" s="1"/>
  <c r="W38" i="23" s="1"/>
  <c r="AF35" i="23"/>
  <c r="V32" i="23"/>
  <c r="W32" i="23" s="1"/>
  <c r="K31" i="23"/>
  <c r="L31" i="23" s="1"/>
  <c r="AP28" i="23"/>
  <c r="K23" i="23"/>
  <c r="L23" i="23" s="1"/>
  <c r="K20" i="23"/>
  <c r="L20" i="23" s="1"/>
  <c r="U16" i="23"/>
  <c r="V16" i="23" s="1"/>
  <c r="W16" i="23" s="1"/>
  <c r="K16" i="23"/>
  <c r="L16" i="23" s="1"/>
  <c r="L13" i="23"/>
  <c r="K42" i="23"/>
  <c r="L42" i="23" s="1"/>
  <c r="AZ39" i="23"/>
  <c r="BA39" i="23" s="1"/>
  <c r="L39" i="23"/>
  <c r="AO38" i="23"/>
  <c r="AG37" i="23"/>
  <c r="AE19" i="23"/>
  <c r="AP16" i="23"/>
  <c r="AQ16" i="23" s="1"/>
  <c r="AY14" i="23"/>
  <c r="AZ14" i="23" s="1"/>
  <c r="U12" i="23"/>
  <c r="K12" i="23"/>
  <c r="L12" i="23" s="1"/>
  <c r="AF39" i="23"/>
  <c r="AG39" i="23" s="1"/>
  <c r="AZ35" i="23"/>
  <c r="BA35" i="23" s="1"/>
  <c r="L35" i="23"/>
  <c r="AF31" i="23"/>
  <c r="AZ27" i="23"/>
  <c r="BA27" i="23" s="1"/>
  <c r="L27" i="23"/>
  <c r="AL20" i="23"/>
  <c r="AL13" i="23"/>
  <c r="AY12" i="23"/>
  <c r="AZ12" i="23" s="1"/>
  <c r="AP20" i="23"/>
  <c r="AY18" i="23"/>
  <c r="AZ18" i="23" s="1"/>
  <c r="K18" i="23"/>
  <c r="L18" i="23" s="1"/>
  <c r="W17" i="23"/>
  <c r="AO14" i="23"/>
  <c r="AP14" i="23" s="1"/>
  <c r="M17" i="23"/>
  <c r="L19" i="23"/>
  <c r="AF15" i="23"/>
  <c r="L11" i="23"/>
  <c r="M11" i="23" s="1"/>
  <c r="AP11" i="23"/>
  <c r="AB11" i="23"/>
  <c r="AY11" i="23"/>
  <c r="AZ11" i="23" s="1"/>
  <c r="AF11" i="23"/>
  <c r="X121" i="54" l="1"/>
  <c r="X115" i="54"/>
  <c r="Y115" i="54" s="1"/>
  <c r="AH114" i="20" s="1"/>
  <c r="X60" i="54"/>
  <c r="Y60" i="54" s="1"/>
  <c r="AH59" i="20" s="1"/>
  <c r="X154" i="54"/>
  <c r="Y154" i="54" s="1"/>
  <c r="AH153" i="20" s="1"/>
  <c r="X31" i="54"/>
  <c r="Y31" i="54" s="1"/>
  <c r="AH30" i="20" s="1"/>
  <c r="X139" i="54"/>
  <c r="Y139" i="54" s="1"/>
  <c r="AH138" i="20" s="1"/>
  <c r="X100" i="54"/>
  <c r="X76" i="54"/>
  <c r="Y76" i="54" s="1"/>
  <c r="AH75" i="20" s="1"/>
  <c r="X39" i="54"/>
  <c r="Y39" i="54" s="1"/>
  <c r="AH38" i="20" s="1"/>
  <c r="Y155" i="54"/>
  <c r="AH154" i="20" s="1"/>
  <c r="AH155" i="20" s="1"/>
  <c r="X97" i="54"/>
  <c r="Y97" i="54" s="1"/>
  <c r="AH96" i="20" s="1"/>
  <c r="AO96" i="20" s="1"/>
  <c r="Y56" i="54"/>
  <c r="AH55" i="20" s="1"/>
  <c r="AO55" i="20" s="1"/>
  <c r="X57" i="54"/>
  <c r="Y57" i="54" s="1"/>
  <c r="AH56" i="20" s="1"/>
  <c r="AO56" i="20" s="1"/>
  <c r="BS156" i="20"/>
  <c r="Y64" i="20"/>
  <c r="BB64" i="20" s="1"/>
  <c r="BB65" i="20" s="1"/>
  <c r="AT134" i="20"/>
  <c r="AJ152" i="20"/>
  <c r="AT50" i="20"/>
  <c r="AR135" i="20"/>
  <c r="AT154" i="20"/>
  <c r="AT136" i="20"/>
  <c r="AT144" i="20"/>
  <c r="AJ63" i="20"/>
  <c r="AT79" i="20"/>
  <c r="W41" i="20"/>
  <c r="Y41" i="20" s="1"/>
  <c r="AT130" i="20"/>
  <c r="AT137" i="20"/>
  <c r="W137" i="20"/>
  <c r="W43" i="20"/>
  <c r="Y43" i="20" s="1"/>
  <c r="X139" i="20"/>
  <c r="Y139" i="20" s="1"/>
  <c r="W117" i="20"/>
  <c r="Y117" i="20" s="1"/>
  <c r="W129" i="20"/>
  <c r="Y129" i="20" s="1"/>
  <c r="AC129" i="20" s="1"/>
  <c r="M31" i="77"/>
  <c r="Y25" i="20"/>
  <c r="W44" i="20"/>
  <c r="Y44" i="20" s="1"/>
  <c r="W58" i="20"/>
  <c r="Y58" i="20" s="1"/>
  <c r="I55" i="23" s="1"/>
  <c r="Y101" i="20"/>
  <c r="AD101" i="20" s="1"/>
  <c r="W122" i="20"/>
  <c r="Y122" i="20" s="1"/>
  <c r="W57" i="20"/>
  <c r="Y57" i="20" s="1"/>
  <c r="AY57" i="20" s="1"/>
  <c r="W59" i="20"/>
  <c r="Y59" i="20" s="1"/>
  <c r="W52" i="20"/>
  <c r="Y52" i="20" s="1"/>
  <c r="W56" i="20"/>
  <c r="Y56" i="20" s="1"/>
  <c r="W51" i="20"/>
  <c r="Y51" i="20" s="1"/>
  <c r="BF51" i="20" s="1"/>
  <c r="AT94" i="20"/>
  <c r="W47" i="20"/>
  <c r="Y47" i="20" s="1"/>
  <c r="I44" i="23" s="1"/>
  <c r="S44" i="23" s="1"/>
  <c r="AC44" i="23" s="1"/>
  <c r="AH44" i="23" s="1"/>
  <c r="AI44" i="23" s="1"/>
  <c r="AI152" i="20"/>
  <c r="AO52" i="20"/>
  <c r="AT138" i="20"/>
  <c r="AJ110" i="20"/>
  <c r="AT47" i="20"/>
  <c r="Y81" i="20"/>
  <c r="BA81" i="20" s="1"/>
  <c r="AR132" i="20"/>
  <c r="AT112" i="20"/>
  <c r="Y29" i="20"/>
  <c r="AT30" i="20"/>
  <c r="Y33" i="20"/>
  <c r="AT34" i="20"/>
  <c r="Y37" i="20"/>
  <c r="AT37" i="20"/>
  <c r="AT38" i="20"/>
  <c r="AT42" i="20"/>
  <c r="AT43" i="20"/>
  <c r="AO129" i="20"/>
  <c r="AT141" i="20"/>
  <c r="AT146" i="20"/>
  <c r="AI124" i="20"/>
  <c r="Y53" i="20"/>
  <c r="BA53" i="20" s="1"/>
  <c r="AT31" i="20"/>
  <c r="AT35" i="20"/>
  <c r="AT39" i="20"/>
  <c r="Y68" i="20"/>
  <c r="AT22" i="20"/>
  <c r="AT24" i="20"/>
  <c r="S69" i="54"/>
  <c r="AG68" i="20" s="1"/>
  <c r="AO68" i="20" s="1"/>
  <c r="AO45" i="20"/>
  <c r="Y93" i="20"/>
  <c r="AT117" i="20"/>
  <c r="AT121" i="20" s="1"/>
  <c r="AT128" i="20"/>
  <c r="AR103" i="20"/>
  <c r="AO126" i="20"/>
  <c r="Y131" i="20"/>
  <c r="AT142" i="20"/>
  <c r="AO131" i="20"/>
  <c r="Y49" i="20"/>
  <c r="AD49" i="20" s="1"/>
  <c r="AT61" i="20"/>
  <c r="AT63" i="20" s="1"/>
  <c r="Y97" i="20"/>
  <c r="AD97" i="20" s="1"/>
  <c r="Y99" i="20"/>
  <c r="AC99" i="20" s="1"/>
  <c r="AT96" i="20"/>
  <c r="AT100" i="20" s="1"/>
  <c r="AT23" i="20"/>
  <c r="Y19" i="20"/>
  <c r="AF88" i="20"/>
  <c r="BZ129" i="20"/>
  <c r="BV129" i="20"/>
  <c r="AF90" i="20"/>
  <c r="AF121" i="20"/>
  <c r="AF124" i="20"/>
  <c r="AF127" i="20"/>
  <c r="AO125" i="20"/>
  <c r="Y130" i="20"/>
  <c r="AF135" i="20"/>
  <c r="AF140" i="20"/>
  <c r="AF147" i="20"/>
  <c r="Y151" i="20"/>
  <c r="AT69" i="20"/>
  <c r="AT70" i="20" s="1"/>
  <c r="Y80" i="20"/>
  <c r="S16" i="54"/>
  <c r="AG15" i="20" s="1"/>
  <c r="AG16" i="20" s="1"/>
  <c r="AT18" i="20"/>
  <c r="Y17" i="20"/>
  <c r="AT28" i="20"/>
  <c r="Y31" i="20"/>
  <c r="AZ31" i="20" s="1"/>
  <c r="AT32" i="20"/>
  <c r="Y35" i="20"/>
  <c r="AV35" i="20" s="1"/>
  <c r="AT36" i="20"/>
  <c r="Y39" i="20"/>
  <c r="AT40" i="20"/>
  <c r="AT44" i="20"/>
  <c r="AJ103" i="20"/>
  <c r="AI95" i="20"/>
  <c r="AT133" i="20"/>
  <c r="Y73" i="20"/>
  <c r="AZ73" i="20" s="1"/>
  <c r="Y75" i="20"/>
  <c r="AP78" i="20"/>
  <c r="AT77" i="20"/>
  <c r="AT78" i="20" s="1"/>
  <c r="Y118" i="20"/>
  <c r="I96" i="23" s="1"/>
  <c r="S96" i="23" s="1"/>
  <c r="Y119" i="20"/>
  <c r="BA119" i="20" s="1"/>
  <c r="Y120" i="20"/>
  <c r="Y123" i="20"/>
  <c r="AD123" i="20" s="1"/>
  <c r="Y125" i="20"/>
  <c r="BF125" i="20" s="1"/>
  <c r="Y126" i="20"/>
  <c r="Y128" i="20"/>
  <c r="AO130" i="20"/>
  <c r="Y133" i="20"/>
  <c r="AV133" i="20" s="1"/>
  <c r="Y134" i="20"/>
  <c r="Y136" i="20"/>
  <c r="Y138" i="20"/>
  <c r="AZ138" i="20" s="1"/>
  <c r="Y141" i="20"/>
  <c r="Y66" i="20"/>
  <c r="Y71" i="20"/>
  <c r="AT72" i="20"/>
  <c r="Y74" i="20"/>
  <c r="AP105" i="20"/>
  <c r="AT104" i="20"/>
  <c r="AT105" i="20" s="1"/>
  <c r="Y143" i="20"/>
  <c r="Y145" i="20"/>
  <c r="I117" i="23" s="1"/>
  <c r="S117" i="23" s="1"/>
  <c r="AC117" i="23" s="1"/>
  <c r="Y148" i="20"/>
  <c r="BG64" i="20"/>
  <c r="BG65" i="20" s="1"/>
  <c r="AP152" i="20"/>
  <c r="AT151" i="20"/>
  <c r="Y144" i="20"/>
  <c r="AP149" i="20"/>
  <c r="AT148" i="20"/>
  <c r="AT149" i="20" s="1"/>
  <c r="AF63" i="20"/>
  <c r="Y83" i="20"/>
  <c r="AT51" i="20"/>
  <c r="Y61" i="20"/>
  <c r="I57" i="23" s="1"/>
  <c r="AX64" i="20"/>
  <c r="AX65" i="20" s="1"/>
  <c r="AI110" i="20"/>
  <c r="Y112" i="20"/>
  <c r="BE112" i="20" s="1"/>
  <c r="AF16" i="20"/>
  <c r="X65" i="54"/>
  <c r="Y65" i="54" s="1"/>
  <c r="AH64" i="20" s="1"/>
  <c r="AH65" i="20" s="1"/>
  <c r="AP14" i="20"/>
  <c r="AT13" i="20"/>
  <c r="AT14" i="20" s="1"/>
  <c r="AP86" i="20"/>
  <c r="AT85" i="20"/>
  <c r="AT86" i="20" s="1"/>
  <c r="Y62" i="20"/>
  <c r="BG62" i="20" s="1"/>
  <c r="J151" i="54"/>
  <c r="M151" i="54" s="1"/>
  <c r="X151" i="54" s="1"/>
  <c r="Y151" i="54" s="1"/>
  <c r="AH150" i="20" s="1"/>
  <c r="AH152" i="20" s="1"/>
  <c r="Y150" i="20"/>
  <c r="BF150" i="20" s="1"/>
  <c r="AF84" i="20"/>
  <c r="AT87" i="20"/>
  <c r="AT88" i="20" s="1"/>
  <c r="Y98" i="20"/>
  <c r="AY98" i="20" s="1"/>
  <c r="Y96" i="20"/>
  <c r="AC96" i="20" s="1"/>
  <c r="Y106" i="20"/>
  <c r="BA106" i="20" s="1"/>
  <c r="J16" i="54"/>
  <c r="M16" i="54" s="1"/>
  <c r="Y15" i="20"/>
  <c r="AV15" i="20" s="1"/>
  <c r="AV16" i="20" s="1"/>
  <c r="AP84" i="20"/>
  <c r="AT83" i="20"/>
  <c r="AT84" i="20" s="1"/>
  <c r="AF92" i="20"/>
  <c r="AF12" i="20"/>
  <c r="Y18" i="20"/>
  <c r="AD18" i="20" s="1"/>
  <c r="Y28" i="20"/>
  <c r="Y32" i="20"/>
  <c r="Y36" i="20"/>
  <c r="Y40" i="20"/>
  <c r="Y77" i="20"/>
  <c r="AR95" i="20"/>
  <c r="Y21" i="20"/>
  <c r="AF67" i="20"/>
  <c r="AR76" i="20"/>
  <c r="AT93" i="20"/>
  <c r="Y72" i="20"/>
  <c r="AT80" i="20"/>
  <c r="AP103" i="20"/>
  <c r="AT102" i="20"/>
  <c r="AT103" i="20" s="1"/>
  <c r="AD64" i="20"/>
  <c r="BK64" i="20" s="1"/>
  <c r="BM64" i="20" s="1"/>
  <c r="Y146" i="20"/>
  <c r="Y153" i="20"/>
  <c r="Y27" i="20"/>
  <c r="Y22" i="20"/>
  <c r="BD22" i="20" s="1"/>
  <c r="Y50" i="20"/>
  <c r="BA50" i="20" s="1"/>
  <c r="Y111" i="20"/>
  <c r="BE111" i="20" s="1"/>
  <c r="AP12" i="20"/>
  <c r="AT11" i="20"/>
  <c r="AT12" i="20" s="1"/>
  <c r="AO59" i="20"/>
  <c r="AF100" i="20"/>
  <c r="Y113" i="20"/>
  <c r="AC113" i="20" s="1"/>
  <c r="BM45" i="20"/>
  <c r="BQ45" i="20" s="1"/>
  <c r="AT107" i="20"/>
  <c r="AP92" i="20"/>
  <c r="AT91" i="20"/>
  <c r="AT92" i="20" s="1"/>
  <c r="J88" i="54"/>
  <c r="M88" i="54" s="1"/>
  <c r="Y87" i="20"/>
  <c r="AX87" i="20" s="1"/>
  <c r="AX88" i="20" s="1"/>
  <c r="Y13" i="20"/>
  <c r="Y11" i="20"/>
  <c r="Y20" i="20"/>
  <c r="AT26" i="20"/>
  <c r="AI60" i="20"/>
  <c r="AT17" i="20"/>
  <c r="AT19" i="20"/>
  <c r="AT29" i="20"/>
  <c r="Y30" i="20"/>
  <c r="AT33" i="20"/>
  <c r="Y34" i="20"/>
  <c r="Y38" i="20"/>
  <c r="AT41" i="20"/>
  <c r="Y42" i="20"/>
  <c r="Y23" i="20"/>
  <c r="AZ23" i="20" s="1"/>
  <c r="AF105" i="20"/>
  <c r="AT139" i="20"/>
  <c r="AT73" i="20"/>
  <c r="AT75" i="20"/>
  <c r="Y104" i="20"/>
  <c r="Y85" i="20"/>
  <c r="AF76" i="20"/>
  <c r="AT74" i="20"/>
  <c r="Y89" i="20"/>
  <c r="Y102" i="20"/>
  <c r="AT145" i="20"/>
  <c r="BE64" i="20"/>
  <c r="BE65" i="20" s="1"/>
  <c r="BD64" i="20"/>
  <c r="Y142" i="20"/>
  <c r="AT153" i="20"/>
  <c r="Y154" i="20"/>
  <c r="Y24" i="20"/>
  <c r="BD24" i="20" s="1"/>
  <c r="AI116" i="20"/>
  <c r="AI63" i="20"/>
  <c r="J80" i="54"/>
  <c r="M80" i="54" s="1"/>
  <c r="Y79" i="20"/>
  <c r="AX79" i="20" s="1"/>
  <c r="AO111" i="20"/>
  <c r="AT59" i="20"/>
  <c r="AP90" i="20"/>
  <c r="AT89" i="20"/>
  <c r="AT90" i="20" s="1"/>
  <c r="AT106" i="20"/>
  <c r="AR140" i="20"/>
  <c r="AF149" i="20"/>
  <c r="AT15" i="20"/>
  <c r="AT16" i="20" s="1"/>
  <c r="Y26" i="20"/>
  <c r="AV26" i="20" s="1"/>
  <c r="Y94" i="20"/>
  <c r="AY94" i="20" s="1"/>
  <c r="J92" i="54"/>
  <c r="M92" i="54" s="1"/>
  <c r="Y91" i="20"/>
  <c r="BQ49" i="20"/>
  <c r="BZ49" i="20" s="1"/>
  <c r="M28" i="77"/>
  <c r="T109" i="20"/>
  <c r="V79" i="23"/>
  <c r="BA96" i="23"/>
  <c r="V89" i="23"/>
  <c r="Y116" i="54"/>
  <c r="AH115" i="20" s="1"/>
  <c r="AO115" i="20" s="1"/>
  <c r="AJ100" i="20"/>
  <c r="T108" i="20"/>
  <c r="W48" i="20"/>
  <c r="Y48" i="20" s="1"/>
  <c r="W45" i="20"/>
  <c r="W46" i="20"/>
  <c r="Y46" i="20" s="1"/>
  <c r="W55" i="20"/>
  <c r="Y55" i="20" s="1"/>
  <c r="BN23" i="11"/>
  <c r="X107" i="20"/>
  <c r="AH127" i="20"/>
  <c r="V117" i="23"/>
  <c r="W117" i="23" s="1"/>
  <c r="W21" i="23"/>
  <c r="X145" i="54"/>
  <c r="Y145" i="54" s="1"/>
  <c r="AH144" i="20" s="1"/>
  <c r="AJ121" i="20"/>
  <c r="X108" i="20"/>
  <c r="AF44" i="23"/>
  <c r="AG44" i="23" s="1"/>
  <c r="AP63" i="23"/>
  <c r="AQ63" i="23" s="1"/>
  <c r="AF82" i="23"/>
  <c r="AP85" i="23"/>
  <c r="AQ85" i="23" s="1"/>
  <c r="V37" i="23"/>
  <c r="W37" i="23" s="1"/>
  <c r="W57" i="23"/>
  <c r="AF122" i="23"/>
  <c r="W75" i="54"/>
  <c r="X143" i="54"/>
  <c r="Y143" i="54" s="1"/>
  <c r="AH142" i="20" s="1"/>
  <c r="X137" i="20"/>
  <c r="AZ44" i="23"/>
  <c r="BA44" i="23" s="1"/>
  <c r="V85" i="23"/>
  <c r="AF112" i="23"/>
  <c r="AG75" i="23"/>
  <c r="AF114" i="23"/>
  <c r="AG114" i="23" s="1"/>
  <c r="AP95" i="23"/>
  <c r="AZ76" i="23"/>
  <c r="X49" i="54"/>
  <c r="Y49" i="54" s="1"/>
  <c r="AH48" i="20" s="1"/>
  <c r="AO48" i="20" s="1"/>
  <c r="AF70" i="20"/>
  <c r="W69" i="20"/>
  <c r="Y69" i="20" s="1"/>
  <c r="AI76" i="20"/>
  <c r="BV131" i="20"/>
  <c r="AR155" i="20"/>
  <c r="W54" i="20"/>
  <c r="Y54" i="20" s="1"/>
  <c r="BN28" i="11"/>
  <c r="BO28" i="11" s="1"/>
  <c r="AI121" i="20"/>
  <c r="BM9" i="25"/>
  <c r="BL41" i="25"/>
  <c r="AG127" i="20"/>
  <c r="AF152" i="20"/>
  <c r="S139" i="54"/>
  <c r="AG138" i="20" s="1"/>
  <c r="AR92" i="20"/>
  <c r="AH70" i="20"/>
  <c r="AP121" i="20"/>
  <c r="AT124" i="20"/>
  <c r="AP124" i="20"/>
  <c r="AP140" i="20"/>
  <c r="AP147" i="20"/>
  <c r="AT67" i="20"/>
  <c r="AR67" i="20"/>
  <c r="AF116" i="20"/>
  <c r="AP110" i="20"/>
  <c r="AF110" i="20"/>
  <c r="AP116" i="20"/>
  <c r="AR12" i="20"/>
  <c r="S88" i="54"/>
  <c r="AG87" i="20" s="1"/>
  <c r="AG88" i="20" s="1"/>
  <c r="X102" i="54"/>
  <c r="Y102" i="54" s="1"/>
  <c r="AH101" i="20" s="1"/>
  <c r="AJ147" i="20"/>
  <c r="AI70" i="20"/>
  <c r="J84" i="54"/>
  <c r="M84" i="54" s="1"/>
  <c r="AR152" i="20"/>
  <c r="AP82" i="20"/>
  <c r="AP16" i="20"/>
  <c r="AR14" i="20"/>
  <c r="S54" i="54"/>
  <c r="AG53" i="20" s="1"/>
  <c r="X147" i="54"/>
  <c r="Y147" i="54" s="1"/>
  <c r="AH146" i="20" s="1"/>
  <c r="S50" i="54"/>
  <c r="AG49" i="20" s="1"/>
  <c r="AO49" i="20" s="1"/>
  <c r="AF82" i="20"/>
  <c r="AT127" i="20"/>
  <c r="AP127" i="20"/>
  <c r="AP135" i="20"/>
  <c r="AR86" i="20"/>
  <c r="S80" i="54"/>
  <c r="AG79" i="20" s="1"/>
  <c r="AR90" i="20"/>
  <c r="AJ155" i="20"/>
  <c r="AP76" i="20"/>
  <c r="AR82" i="20"/>
  <c r="AP63" i="20"/>
  <c r="AJ70" i="20"/>
  <c r="AI140" i="20"/>
  <c r="AI147" i="20"/>
  <c r="AI132" i="20"/>
  <c r="X98" i="54"/>
  <c r="Y98" i="54" s="1"/>
  <c r="AH97" i="20" s="1"/>
  <c r="AO97" i="20" s="1"/>
  <c r="AJ82" i="20"/>
  <c r="AF103" i="20"/>
  <c r="BT156" i="20"/>
  <c r="AP95" i="20"/>
  <c r="AJ76" i="20"/>
  <c r="AI155" i="20"/>
  <c r="AC64" i="20"/>
  <c r="AV64" i="20"/>
  <c r="AV65" i="20" s="1"/>
  <c r="AP155" i="20"/>
  <c r="AF155" i="20"/>
  <c r="AR116" i="20"/>
  <c r="AP70" i="20"/>
  <c r="AP100" i="20"/>
  <c r="AR110" i="20"/>
  <c r="AJ116" i="20"/>
  <c r="AR147" i="20"/>
  <c r="V103" i="23"/>
  <c r="V25" i="23"/>
  <c r="W25" i="23" s="1"/>
  <c r="AP107" i="23"/>
  <c r="V105" i="23"/>
  <c r="W105" i="23" s="1"/>
  <c r="AP94" i="23"/>
  <c r="AQ94" i="23" s="1"/>
  <c r="W45" i="23"/>
  <c r="V116" i="23"/>
  <c r="AP75" i="23"/>
  <c r="AQ75" i="23" s="1"/>
  <c r="V91" i="23"/>
  <c r="AP119" i="23"/>
  <c r="AQ119" i="23" s="1"/>
  <c r="V121" i="23"/>
  <c r="W121" i="23" s="1"/>
  <c r="W41" i="23"/>
  <c r="AP108" i="23"/>
  <c r="AQ108" i="23" s="1"/>
  <c r="AF120" i="23"/>
  <c r="AG120" i="23" s="1"/>
  <c r="AP87" i="23"/>
  <c r="AQ87" i="23" s="1"/>
  <c r="AP65" i="23"/>
  <c r="AQ65" i="23" s="1"/>
  <c r="AF106" i="23"/>
  <c r="AF56" i="23"/>
  <c r="AG56" i="23" s="1"/>
  <c r="AZ75" i="23"/>
  <c r="AF88" i="23"/>
  <c r="AG88" i="23" s="1"/>
  <c r="AF24" i="23"/>
  <c r="AG24" i="23" s="1"/>
  <c r="AQ99" i="23"/>
  <c r="AP71" i="23"/>
  <c r="AQ71" i="23" s="1"/>
  <c r="AF66" i="23"/>
  <c r="AG66" i="23" s="1"/>
  <c r="AP79" i="23"/>
  <c r="AQ79" i="23" s="1"/>
  <c r="AP91" i="23"/>
  <c r="AQ91" i="23" s="1"/>
  <c r="AF94" i="23"/>
  <c r="AG94" i="23" s="1"/>
  <c r="V97" i="23"/>
  <c r="W97" i="23" s="1"/>
  <c r="V75" i="23"/>
  <c r="AZ109" i="23"/>
  <c r="BA109" i="23" s="1"/>
  <c r="AF40" i="23"/>
  <c r="AG40" i="23" s="1"/>
  <c r="AQ17" i="23"/>
  <c r="AP121" i="23"/>
  <c r="AQ121" i="23" s="1"/>
  <c r="AP89" i="23"/>
  <c r="AF46" i="23"/>
  <c r="AG46" i="23" s="1"/>
  <c r="AP25" i="23"/>
  <c r="AP113" i="23"/>
  <c r="AZ19" i="23"/>
  <c r="BA19" i="23" s="1"/>
  <c r="AZ63" i="23"/>
  <c r="BA63" i="23" s="1"/>
  <c r="V13" i="23"/>
  <c r="W13" i="23" s="1"/>
  <c r="V109" i="23"/>
  <c r="W109" i="23" s="1"/>
  <c r="V49" i="23"/>
  <c r="V33" i="23"/>
  <c r="W33" i="23" s="1"/>
  <c r="AP115" i="23"/>
  <c r="AQ115" i="23" s="1"/>
  <c r="V81" i="23"/>
  <c r="W81" i="23" s="1"/>
  <c r="V93" i="23"/>
  <c r="AP123" i="23"/>
  <c r="V113" i="23"/>
  <c r="W113" i="23" s="1"/>
  <c r="W123" i="23"/>
  <c r="V83" i="23"/>
  <c r="W83" i="23" s="1"/>
  <c r="AF14" i="23"/>
  <c r="AG14" i="23" s="1"/>
  <c r="W19" i="54"/>
  <c r="X19" i="54" s="1"/>
  <c r="X37" i="54"/>
  <c r="Y37" i="54" s="1"/>
  <c r="AH36" i="20" s="1"/>
  <c r="R135" i="54"/>
  <c r="S135" i="54" s="1"/>
  <c r="AG134" i="20" s="1"/>
  <c r="R43" i="54"/>
  <c r="S43" i="54" s="1"/>
  <c r="AG42" i="20" s="1"/>
  <c r="W140" i="54"/>
  <c r="R73" i="54"/>
  <c r="S73" i="54" s="1"/>
  <c r="AG72" i="20" s="1"/>
  <c r="Y100" i="54"/>
  <c r="AH99" i="20" s="1"/>
  <c r="AO99" i="20" s="1"/>
  <c r="R30" i="54"/>
  <c r="S30" i="54" s="1"/>
  <c r="AG29" i="20" s="1"/>
  <c r="AJ60" i="20"/>
  <c r="W25" i="54"/>
  <c r="X25" i="54" s="1"/>
  <c r="X40" i="54"/>
  <c r="Y40" i="54" s="1"/>
  <c r="AH39" i="20" s="1"/>
  <c r="R47" i="54"/>
  <c r="S47" i="54" s="1"/>
  <c r="AG46" i="20" s="1"/>
  <c r="R14" i="54"/>
  <c r="S14" i="54" s="1"/>
  <c r="AG13" i="20" s="1"/>
  <c r="X99" i="54"/>
  <c r="Y99" i="54" s="1"/>
  <c r="AH98" i="20" s="1"/>
  <c r="X118" i="54"/>
  <c r="Y118" i="54" s="1"/>
  <c r="AH117" i="20" s="1"/>
  <c r="AO117" i="20" s="1"/>
  <c r="R67" i="54"/>
  <c r="S67" i="54" s="1"/>
  <c r="AG66" i="20" s="1"/>
  <c r="AG67" i="20" s="1"/>
  <c r="R151" i="54"/>
  <c r="S151" i="54" s="1"/>
  <c r="AG150" i="20" s="1"/>
  <c r="R21" i="54"/>
  <c r="S21" i="54" s="1"/>
  <c r="AG20" i="20" s="1"/>
  <c r="AO20" i="20" s="1"/>
  <c r="X59" i="54"/>
  <c r="Y59" i="54" s="1"/>
  <c r="AH58" i="20" s="1"/>
  <c r="AO58" i="20" s="1"/>
  <c r="X134" i="54"/>
  <c r="Y134" i="54" s="1"/>
  <c r="AH133" i="20" s="1"/>
  <c r="R39" i="54"/>
  <c r="S39" i="54" s="1"/>
  <c r="AG38" i="20" s="1"/>
  <c r="R44" i="54"/>
  <c r="S44" i="54" s="1"/>
  <c r="AG43" i="20" s="1"/>
  <c r="R24" i="54"/>
  <c r="S24" i="54" s="1"/>
  <c r="AG23" i="20" s="1"/>
  <c r="S52" i="23"/>
  <c r="AC52" i="23" s="1"/>
  <c r="AM52" i="23" s="1"/>
  <c r="R102" i="54"/>
  <c r="S102" i="54" s="1"/>
  <c r="AG101" i="20" s="1"/>
  <c r="W114" i="54"/>
  <c r="W108" i="54"/>
  <c r="X108" i="54" s="1"/>
  <c r="R146" i="54"/>
  <c r="S146" i="54" s="1"/>
  <c r="AG145" i="20" s="1"/>
  <c r="R37" i="54"/>
  <c r="S37" i="54" s="1"/>
  <c r="AG36" i="20" s="1"/>
  <c r="R32" i="54"/>
  <c r="S32" i="54" s="1"/>
  <c r="AG31" i="20" s="1"/>
  <c r="S19" i="23"/>
  <c r="AC19" i="23" s="1"/>
  <c r="AM19" i="23" s="1"/>
  <c r="X74" i="54"/>
  <c r="Y74" i="54" s="1"/>
  <c r="AH73" i="20" s="1"/>
  <c r="R84" i="54"/>
  <c r="S84" i="54" s="1"/>
  <c r="AG83" i="20" s="1"/>
  <c r="AG84" i="20" s="1"/>
  <c r="W63" i="54"/>
  <c r="R82" i="54"/>
  <c r="S82" i="54" s="1"/>
  <c r="AG81" i="20" s="1"/>
  <c r="R20" i="54"/>
  <c r="S20" i="54" s="1"/>
  <c r="AG19" i="20" s="1"/>
  <c r="R34" i="54"/>
  <c r="S34" i="54" s="1"/>
  <c r="AG33" i="20" s="1"/>
  <c r="R42" i="54"/>
  <c r="S42" i="54" s="1"/>
  <c r="AG41" i="20" s="1"/>
  <c r="AO41" i="20" s="1"/>
  <c r="W137" i="54"/>
  <c r="X137" i="54" s="1"/>
  <c r="W35" i="54"/>
  <c r="X35" i="54" s="1"/>
  <c r="X26" i="54"/>
  <c r="W26" i="54"/>
  <c r="X33" i="54"/>
  <c r="Y33" i="54" s="1"/>
  <c r="AH32" i="20" s="1"/>
  <c r="X54" i="54"/>
  <c r="Y54" i="54" s="1"/>
  <c r="AH53" i="20" s="1"/>
  <c r="W41" i="54"/>
  <c r="R19" i="54"/>
  <c r="S19" i="54" s="1"/>
  <c r="AG18" i="20" s="1"/>
  <c r="R115" i="54"/>
  <c r="S115" i="54" s="1"/>
  <c r="AG114" i="20" s="1"/>
  <c r="R119" i="54"/>
  <c r="S119" i="54" s="1"/>
  <c r="AG118" i="20" s="1"/>
  <c r="W129" i="54"/>
  <c r="X30" i="54"/>
  <c r="Y30" i="54" s="1"/>
  <c r="AH29" i="20" s="1"/>
  <c r="R94" i="54"/>
  <c r="S94" i="54" s="1"/>
  <c r="AG93" i="20" s="1"/>
  <c r="R22" i="54"/>
  <c r="S22" i="54"/>
  <c r="AG21" i="20" s="1"/>
  <c r="AO21" i="20" s="1"/>
  <c r="S104" i="23"/>
  <c r="AC104" i="23" s="1"/>
  <c r="AM104" i="23" s="1"/>
  <c r="AW104" i="23" s="1"/>
  <c r="BB104" i="23" s="1"/>
  <c r="R41" i="54"/>
  <c r="S41" i="54" s="1"/>
  <c r="AG40" i="20" s="1"/>
  <c r="R114" i="54"/>
  <c r="S114" i="54" s="1"/>
  <c r="AG113" i="20" s="1"/>
  <c r="R124" i="54"/>
  <c r="S124" i="54" s="1"/>
  <c r="AG123" i="20" s="1"/>
  <c r="R140" i="54"/>
  <c r="S140" i="54" s="1"/>
  <c r="AG139" i="20" s="1"/>
  <c r="R31" i="54"/>
  <c r="S31" i="54" s="1"/>
  <c r="AG30" i="20" s="1"/>
  <c r="AO30" i="20" s="1"/>
  <c r="R108" i="54"/>
  <c r="S108" i="54" s="1"/>
  <c r="AG107" i="20" s="1"/>
  <c r="R45" i="54"/>
  <c r="S45" i="54" s="1"/>
  <c r="AG44" i="20" s="1"/>
  <c r="X51" i="54"/>
  <c r="Y51" i="54" s="1"/>
  <c r="AH50" i="20" s="1"/>
  <c r="AO50" i="20" s="1"/>
  <c r="J12" i="54"/>
  <c r="AP60" i="20"/>
  <c r="R95" i="54"/>
  <c r="S95" i="54" s="1"/>
  <c r="AG94" i="20" s="1"/>
  <c r="X75" i="54"/>
  <c r="Y75" i="54" s="1"/>
  <c r="AH74" i="20" s="1"/>
  <c r="X124" i="54"/>
  <c r="Y124" i="54" s="1"/>
  <c r="AH123" i="20" s="1"/>
  <c r="R40" i="54"/>
  <c r="S40" i="54" s="1"/>
  <c r="AG39" i="20" s="1"/>
  <c r="X44" i="54"/>
  <c r="Y44" i="54" s="1"/>
  <c r="AH43" i="20" s="1"/>
  <c r="R75" i="54"/>
  <c r="S75" i="54" s="1"/>
  <c r="AG74" i="20" s="1"/>
  <c r="R103" i="54"/>
  <c r="S103" i="54" s="1"/>
  <c r="AG102" i="20" s="1"/>
  <c r="X120" i="54"/>
  <c r="Y120" i="54" s="1"/>
  <c r="AH119" i="20" s="1"/>
  <c r="J78" i="54"/>
  <c r="M78" i="54" s="1"/>
  <c r="R55" i="54"/>
  <c r="S55" i="54" s="1"/>
  <c r="AG54" i="20" s="1"/>
  <c r="AR60" i="20"/>
  <c r="R105" i="54"/>
  <c r="S105" i="54" s="1"/>
  <c r="AG104" i="20" s="1"/>
  <c r="AG105" i="20" s="1"/>
  <c r="X18" i="54"/>
  <c r="Y18" i="54" s="1"/>
  <c r="AH17" i="20" s="1"/>
  <c r="R107" i="54"/>
  <c r="S107" i="54" s="1"/>
  <c r="AG106" i="20" s="1"/>
  <c r="J90" i="54"/>
  <c r="M90" i="54" s="1"/>
  <c r="R147" i="54"/>
  <c r="S147" i="54" s="1"/>
  <c r="AG146" i="20" s="1"/>
  <c r="R26" i="54"/>
  <c r="S26" i="54" s="1"/>
  <c r="AG25" i="20" s="1"/>
  <c r="R25" i="54"/>
  <c r="S25" i="54" s="1"/>
  <c r="AG24" i="20" s="1"/>
  <c r="X58" i="54"/>
  <c r="Y58" i="54" s="1"/>
  <c r="AH57" i="20" s="1"/>
  <c r="AO57" i="20" s="1"/>
  <c r="X135" i="54"/>
  <c r="Y135" i="54" s="1"/>
  <c r="AH134" i="20" s="1"/>
  <c r="W146" i="54"/>
  <c r="X146" i="54" s="1"/>
  <c r="X43" i="54"/>
  <c r="Y43" i="54" s="1"/>
  <c r="AH42" i="20" s="1"/>
  <c r="R92" i="54"/>
  <c r="S92" i="54" s="1"/>
  <c r="AG91" i="20" s="1"/>
  <c r="R120" i="54"/>
  <c r="S120" i="54" s="1"/>
  <c r="AG119" i="20" s="1"/>
  <c r="R134" i="54"/>
  <c r="S134" i="54" s="1"/>
  <c r="AG133" i="20" s="1"/>
  <c r="R23" i="54"/>
  <c r="S23" i="54" s="1"/>
  <c r="AG22" i="20" s="1"/>
  <c r="AO22" i="20" s="1"/>
  <c r="Y95" i="54"/>
  <c r="AH94" i="20" s="1"/>
  <c r="R110" i="54"/>
  <c r="S110" i="54" s="1"/>
  <c r="AG109" i="20" s="1"/>
  <c r="R62" i="54"/>
  <c r="S62" i="54" s="1"/>
  <c r="AG61" i="20" s="1"/>
  <c r="R63" i="54"/>
  <c r="S63" i="54" s="1"/>
  <c r="AG62" i="20" s="1"/>
  <c r="R27" i="54"/>
  <c r="S27" i="54" s="1"/>
  <c r="AG26" i="20" s="1"/>
  <c r="AO26" i="20" s="1"/>
  <c r="R78" i="54"/>
  <c r="S78" i="54" s="1"/>
  <c r="AG77" i="20" s="1"/>
  <c r="R35" i="54"/>
  <c r="S35" i="54" s="1"/>
  <c r="AG34" i="20" s="1"/>
  <c r="R38" i="54"/>
  <c r="S38" i="54" s="1"/>
  <c r="AG37" i="20" s="1"/>
  <c r="AO37" i="20" s="1"/>
  <c r="R86" i="54"/>
  <c r="S86" i="54" s="1"/>
  <c r="AG85" i="20" s="1"/>
  <c r="X119" i="54"/>
  <c r="Y119" i="54" s="1"/>
  <c r="AH118" i="20" s="1"/>
  <c r="R149" i="54"/>
  <c r="S149" i="54" s="1"/>
  <c r="AG148" i="20" s="1"/>
  <c r="AG149" i="20" s="1"/>
  <c r="R137" i="54"/>
  <c r="S137" i="54" s="1"/>
  <c r="AG136" i="20" s="1"/>
  <c r="J94" i="54"/>
  <c r="M94" i="54" s="1"/>
  <c r="X94" i="54" s="1"/>
  <c r="Y94" i="54" s="1"/>
  <c r="AH93" i="20" s="1"/>
  <c r="AP132" i="20"/>
  <c r="R18" i="54"/>
  <c r="S18" i="54" s="1"/>
  <c r="AG17" i="20" s="1"/>
  <c r="R144" i="54"/>
  <c r="S144" i="54" s="1"/>
  <c r="AG143" i="20" s="1"/>
  <c r="AO143" i="20" s="1"/>
  <c r="J149" i="54"/>
  <c r="X34" i="54"/>
  <c r="Y34" i="54" s="1"/>
  <c r="AH33" i="20" s="1"/>
  <c r="R48" i="54"/>
  <c r="S48" i="54" s="1"/>
  <c r="AG47" i="20" s="1"/>
  <c r="AO47" i="20" s="1"/>
  <c r="R121" i="54"/>
  <c r="S121" i="54" s="1"/>
  <c r="AG120" i="20" s="1"/>
  <c r="W142" i="54"/>
  <c r="X142" i="54" s="1"/>
  <c r="R36" i="54"/>
  <c r="S36" i="54" s="1"/>
  <c r="AG35" i="20" s="1"/>
  <c r="R65" i="54"/>
  <c r="S65" i="54" s="1"/>
  <c r="AG64" i="20" s="1"/>
  <c r="W81" i="54"/>
  <c r="X20" i="54"/>
  <c r="Y20" i="54" s="1"/>
  <c r="AH19" i="20" s="1"/>
  <c r="W110" i="54"/>
  <c r="R28" i="54"/>
  <c r="S28" i="54"/>
  <c r="AG27" i="20" s="1"/>
  <c r="AO27" i="20" s="1"/>
  <c r="R109" i="54"/>
  <c r="S109" i="54" s="1"/>
  <c r="AG108" i="20" s="1"/>
  <c r="X123" i="54"/>
  <c r="Y123" i="54" s="1"/>
  <c r="AH122" i="20" s="1"/>
  <c r="N19" i="23"/>
  <c r="R29" i="54"/>
  <c r="S29" i="54" s="1"/>
  <c r="AG28" i="20" s="1"/>
  <c r="X32" i="54"/>
  <c r="Y32" i="54" s="1"/>
  <c r="AH31" i="20" s="1"/>
  <c r="X45" i="54"/>
  <c r="Y45" i="54" s="1"/>
  <c r="AH44" i="20" s="1"/>
  <c r="J14" i="54"/>
  <c r="M14" i="54" s="1"/>
  <c r="X29" i="54"/>
  <c r="Y29" i="54" s="1"/>
  <c r="AH28" i="20" s="1"/>
  <c r="Y121" i="54"/>
  <c r="AH120" i="20" s="1"/>
  <c r="R142" i="54"/>
  <c r="S142" i="54" s="1"/>
  <c r="AG141" i="20" s="1"/>
  <c r="X36" i="54"/>
  <c r="Y36" i="54" s="1"/>
  <c r="AH35" i="20" s="1"/>
  <c r="X47" i="54"/>
  <c r="Y47" i="54" s="1"/>
  <c r="AH46" i="20" s="1"/>
  <c r="R81" i="54"/>
  <c r="S81" i="54" s="1"/>
  <c r="AG80" i="20" s="1"/>
  <c r="R99" i="54"/>
  <c r="S99" i="54" s="1"/>
  <c r="AG98" i="20" s="1"/>
  <c r="R12" i="54"/>
  <c r="S12" i="54" s="1"/>
  <c r="Q160" i="54"/>
  <c r="AF60" i="20"/>
  <c r="X52" i="54"/>
  <c r="Y52" i="54" s="1"/>
  <c r="AH51" i="20" s="1"/>
  <c r="AO51" i="20" s="1"/>
  <c r="X82" i="54"/>
  <c r="Y82" i="54" s="1"/>
  <c r="AH81" i="20" s="1"/>
  <c r="X109" i="54"/>
  <c r="Y109" i="54" s="1"/>
  <c r="AH108" i="20" s="1"/>
  <c r="S42" i="23"/>
  <c r="AC42" i="23" s="1"/>
  <c r="AM42" i="23" s="1"/>
  <c r="AR42" i="23" s="1"/>
  <c r="R123" i="54"/>
  <c r="S123" i="54" s="1"/>
  <c r="AG122" i="20" s="1"/>
  <c r="X24" i="54"/>
  <c r="Y24" i="54" s="1"/>
  <c r="AH23" i="20" s="1"/>
  <c r="X73" i="54"/>
  <c r="Y73" i="54" s="1"/>
  <c r="AH72" i="20" s="1"/>
  <c r="W62" i="54"/>
  <c r="X62" i="54" s="1"/>
  <c r="BZ71" i="20"/>
  <c r="BV71" i="20"/>
  <c r="R74" i="54"/>
  <c r="S74" i="54" s="1"/>
  <c r="AG73" i="20" s="1"/>
  <c r="R76" i="54"/>
  <c r="S76" i="54" s="1"/>
  <c r="AG75" i="20" s="1"/>
  <c r="X55" i="54"/>
  <c r="Y55" i="54" s="1"/>
  <c r="AH54" i="20" s="1"/>
  <c r="J67" i="54"/>
  <c r="W107" i="54"/>
  <c r="X107" i="54" s="1"/>
  <c r="J86" i="54"/>
  <c r="M86" i="54" s="1"/>
  <c r="AF132" i="20"/>
  <c r="R113" i="54"/>
  <c r="S113" i="54" s="1"/>
  <c r="AG112" i="20" s="1"/>
  <c r="R138" i="54"/>
  <c r="S138" i="54" s="1"/>
  <c r="AG137" i="20" s="1"/>
  <c r="R90" i="54"/>
  <c r="S90" i="54" s="1"/>
  <c r="AG89" i="20" s="1"/>
  <c r="R152" i="54"/>
  <c r="S152" i="54" s="1"/>
  <c r="AG151" i="20" s="1"/>
  <c r="AO151" i="20" s="1"/>
  <c r="R145" i="54"/>
  <c r="S145" i="54" s="1"/>
  <c r="AG144" i="20" s="1"/>
  <c r="R154" i="54"/>
  <c r="S154" i="54" s="1"/>
  <c r="AG153" i="20" s="1"/>
  <c r="AO153" i="20" s="1"/>
  <c r="R33" i="54"/>
  <c r="S33" i="54" s="1"/>
  <c r="AG32" i="20" s="1"/>
  <c r="X103" i="54"/>
  <c r="Y103" i="54" s="1"/>
  <c r="AH102" i="20" s="1"/>
  <c r="R129" i="54"/>
  <c r="S129" i="54" s="1"/>
  <c r="AG128" i="20" s="1"/>
  <c r="AG132" i="20" s="1"/>
  <c r="BM27" i="20"/>
  <c r="BQ27" i="20" s="1"/>
  <c r="BM55" i="20"/>
  <c r="R70" i="54"/>
  <c r="S70" i="54" s="1"/>
  <c r="AG69" i="20" s="1"/>
  <c r="AO69" i="20" s="1"/>
  <c r="J81" i="54"/>
  <c r="M81" i="54" s="1"/>
  <c r="J105" i="54"/>
  <c r="AJ132" i="20"/>
  <c r="W113" i="54"/>
  <c r="X113" i="54" s="1"/>
  <c r="X138" i="54"/>
  <c r="Y138" i="54" s="1"/>
  <c r="AH137" i="20" s="1"/>
  <c r="R72" i="54"/>
  <c r="S72" i="54"/>
  <c r="AG71" i="20" s="1"/>
  <c r="AO71" i="20" s="1"/>
  <c r="R143" i="54"/>
  <c r="S143" i="54" s="1"/>
  <c r="AG142" i="20" s="1"/>
  <c r="R155" i="54"/>
  <c r="S155" i="54" s="1"/>
  <c r="AG154" i="20" s="1"/>
  <c r="AZ87" i="23"/>
  <c r="V23" i="23"/>
  <c r="V31" i="23"/>
  <c r="W31" i="23" s="1"/>
  <c r="AZ73" i="23"/>
  <c r="BA73" i="23" s="1"/>
  <c r="AZ65" i="23"/>
  <c r="AG86" i="23"/>
  <c r="AZ97" i="23"/>
  <c r="AF54" i="23"/>
  <c r="AG54" i="23" s="1"/>
  <c r="AF110" i="23"/>
  <c r="AG110" i="23" s="1"/>
  <c r="V111" i="23"/>
  <c r="W111" i="23" s="1"/>
  <c r="BA105" i="23"/>
  <c r="AF70" i="23"/>
  <c r="AG70" i="23" s="1"/>
  <c r="BA76" i="23"/>
  <c r="M36" i="23"/>
  <c r="M76" i="23"/>
  <c r="AQ96" i="23"/>
  <c r="BA115" i="23"/>
  <c r="M77" i="23"/>
  <c r="W74" i="23"/>
  <c r="M66" i="23"/>
  <c r="AQ57" i="23"/>
  <c r="AG96" i="23"/>
  <c r="AQ112" i="23"/>
  <c r="W75" i="23"/>
  <c r="BA57" i="23"/>
  <c r="W89" i="23"/>
  <c r="M97" i="23"/>
  <c r="BA121" i="23"/>
  <c r="AQ120" i="23"/>
  <c r="AG93" i="23"/>
  <c r="AG13" i="23"/>
  <c r="AQ93" i="23"/>
  <c r="AQ25" i="23"/>
  <c r="AG21" i="23"/>
  <c r="M118" i="23"/>
  <c r="M112" i="23"/>
  <c r="M122" i="23"/>
  <c r="W93" i="23"/>
  <c r="AG80" i="23"/>
  <c r="W18" i="23"/>
  <c r="W80" i="23"/>
  <c r="W122" i="23"/>
  <c r="AQ61" i="23"/>
  <c r="M22" i="23"/>
  <c r="M64" i="23"/>
  <c r="BA100" i="23"/>
  <c r="BA106" i="23"/>
  <c r="AP21" i="23"/>
  <c r="AQ21" i="23" s="1"/>
  <c r="AG61" i="23"/>
  <c r="M109" i="23"/>
  <c r="W56" i="23"/>
  <c r="W100" i="23"/>
  <c r="AG106" i="23"/>
  <c r="W104" i="23"/>
  <c r="M55" i="23"/>
  <c r="AQ12" i="23"/>
  <c r="W87" i="23"/>
  <c r="AQ22" i="23"/>
  <c r="W77" i="23"/>
  <c r="M50" i="23"/>
  <c r="AG78" i="23"/>
  <c r="M38" i="23"/>
  <c r="BA22" i="23"/>
  <c r="W50" i="23"/>
  <c r="AQ100" i="23"/>
  <c r="W53" i="23"/>
  <c r="M94" i="23"/>
  <c r="W22" i="23"/>
  <c r="AG28" i="23"/>
  <c r="AG49" i="23"/>
  <c r="M82" i="23"/>
  <c r="M87" i="23"/>
  <c r="M95" i="23"/>
  <c r="AQ90" i="23"/>
  <c r="BA82" i="23"/>
  <c r="AG102" i="23"/>
  <c r="BA61" i="23"/>
  <c r="M40" i="23"/>
  <c r="AV25" i="23"/>
  <c r="BA25" i="23" s="1"/>
  <c r="W58" i="23"/>
  <c r="BA21" i="23"/>
  <c r="AG25" i="23"/>
  <c r="AG63" i="23"/>
  <c r="AG82" i="23"/>
  <c r="AP82" i="23"/>
  <c r="AQ82" i="23" s="1"/>
  <c r="M33" i="23"/>
  <c r="W59" i="23"/>
  <c r="AQ106" i="23"/>
  <c r="W20" i="23"/>
  <c r="W43" i="23"/>
  <c r="W28" i="23"/>
  <c r="BA58" i="23"/>
  <c r="AQ60" i="23"/>
  <c r="BA71" i="23"/>
  <c r="W49" i="23"/>
  <c r="W24" i="23"/>
  <c r="AG38" i="23"/>
  <c r="M61" i="23"/>
  <c r="AG18" i="23"/>
  <c r="AP73" i="23"/>
  <c r="M79" i="23"/>
  <c r="AV90" i="23"/>
  <c r="BA90" i="23" s="1"/>
  <c r="M98" i="23"/>
  <c r="M107" i="23"/>
  <c r="AG92" i="23"/>
  <c r="AQ76" i="23"/>
  <c r="AG57" i="23"/>
  <c r="AF26" i="23"/>
  <c r="V60" i="23"/>
  <c r="W60" i="23" s="1"/>
  <c r="W65" i="23"/>
  <c r="M116" i="23"/>
  <c r="AQ54" i="23"/>
  <c r="AQ18" i="23"/>
  <c r="W34" i="23"/>
  <c r="M14" i="23"/>
  <c r="V36" i="23"/>
  <c r="W36" i="23" s="1"/>
  <c r="AZ99" i="23"/>
  <c r="BA99" i="23" s="1"/>
  <c r="BA93" i="23"/>
  <c r="M62" i="23"/>
  <c r="M68" i="23"/>
  <c r="M85" i="23"/>
  <c r="N52" i="23"/>
  <c r="O52" i="23" s="1"/>
  <c r="M75" i="23"/>
  <c r="M67" i="23"/>
  <c r="M91" i="23"/>
  <c r="M110" i="23"/>
  <c r="M103" i="23"/>
  <c r="M24" i="23"/>
  <c r="M73" i="23"/>
  <c r="AG111" i="23"/>
  <c r="AL111" i="23"/>
  <c r="AL97" i="23"/>
  <c r="AG97" i="23"/>
  <c r="AL74" i="23"/>
  <c r="AG74" i="23"/>
  <c r="AG118" i="23"/>
  <c r="AL118" i="23"/>
  <c r="AV65" i="23"/>
  <c r="AG72" i="23"/>
  <c r="AL72" i="23"/>
  <c r="AL68" i="23"/>
  <c r="AG68" i="23"/>
  <c r="AG48" i="23"/>
  <c r="M63" i="23"/>
  <c r="AV34" i="23"/>
  <c r="BA34" i="23" s="1"/>
  <c r="AQ34" i="23"/>
  <c r="AQ40" i="23"/>
  <c r="AV40" i="23"/>
  <c r="BA40" i="23" s="1"/>
  <c r="AQ42" i="23"/>
  <c r="AV42" i="23"/>
  <c r="BA42" i="23" s="1"/>
  <c r="AQ46" i="23"/>
  <c r="AV46" i="23"/>
  <c r="BA46" i="23" s="1"/>
  <c r="AG77" i="23"/>
  <c r="AL77" i="23"/>
  <c r="AG89" i="23"/>
  <c r="AL89" i="23"/>
  <c r="AV29" i="23"/>
  <c r="BA29" i="23" s="1"/>
  <c r="AQ29" i="23"/>
  <c r="AL66" i="23"/>
  <c r="AF83" i="23"/>
  <c r="AG83" i="23" s="1"/>
  <c r="AF19" i="23"/>
  <c r="AG19" i="23" s="1"/>
  <c r="V35" i="23"/>
  <c r="W35" i="23" s="1"/>
  <c r="M42" i="23"/>
  <c r="N42" i="23"/>
  <c r="AP39" i="23"/>
  <c r="AQ30" i="23"/>
  <c r="AV30" i="23"/>
  <c r="BA30" i="23" s="1"/>
  <c r="V52" i="23"/>
  <c r="M58" i="23"/>
  <c r="AL26" i="23"/>
  <c r="BA43" i="23"/>
  <c r="M41" i="23"/>
  <c r="AQ64" i="23"/>
  <c r="AV64" i="23"/>
  <c r="BA64" i="23" s="1"/>
  <c r="AZ119" i="23"/>
  <c r="BA119" i="23" s="1"/>
  <c r="AP27" i="23"/>
  <c r="AQ27" i="23" s="1"/>
  <c r="AV51" i="23"/>
  <c r="BA51" i="23" s="1"/>
  <c r="AQ51" i="23"/>
  <c r="AV70" i="23"/>
  <c r="BA70" i="23" s="1"/>
  <c r="AQ92" i="23"/>
  <c r="AV92" i="23"/>
  <c r="BA92" i="23" s="1"/>
  <c r="AF23" i="23"/>
  <c r="M47" i="23"/>
  <c r="AF91" i="23"/>
  <c r="AG91" i="23" s="1"/>
  <c r="BA14" i="23"/>
  <c r="AQ32" i="23"/>
  <c r="AV32" i="23"/>
  <c r="M51" i="23"/>
  <c r="L59" i="23"/>
  <c r="M59" i="23" s="1"/>
  <c r="AG15" i="23"/>
  <c r="M19" i="23"/>
  <c r="AQ20" i="23"/>
  <c r="AV20" i="23"/>
  <c r="BA20" i="23" s="1"/>
  <c r="M12" i="23"/>
  <c r="M13" i="23"/>
  <c r="M16" i="23"/>
  <c r="M23" i="23"/>
  <c r="AQ23" i="23"/>
  <c r="M31" i="23"/>
  <c r="AQ35" i="23"/>
  <c r="AQ15" i="23"/>
  <c r="AL36" i="23"/>
  <c r="AQ67" i="23"/>
  <c r="AZ24" i="23"/>
  <c r="AQ28" i="23"/>
  <c r="AV28" i="23"/>
  <c r="BA28" i="23" s="1"/>
  <c r="AP31" i="23"/>
  <c r="AQ31" i="23" s="1"/>
  <c r="M35" i="23"/>
  <c r="M44" i="23"/>
  <c r="W64" i="23"/>
  <c r="W98" i="23"/>
  <c r="W15" i="23"/>
  <c r="W26" i="23"/>
  <c r="M32" i="23"/>
  <c r="AQ33" i="23"/>
  <c r="AV33" i="23"/>
  <c r="BA33" i="23" s="1"/>
  <c r="M48" i="23"/>
  <c r="M56" i="23"/>
  <c r="V61" i="23"/>
  <c r="W39" i="23"/>
  <c r="AQ45" i="23"/>
  <c r="AV45" i="23"/>
  <c r="BA45" i="23" s="1"/>
  <c r="AL83" i="23"/>
  <c r="BA88" i="23"/>
  <c r="AG95" i="23"/>
  <c r="AL95" i="23"/>
  <c r="AG100" i="23"/>
  <c r="AL107" i="23"/>
  <c r="AG112" i="23"/>
  <c r="M27" i="23"/>
  <c r="AG53" i="23"/>
  <c r="AL53" i="23"/>
  <c r="AP53" i="23"/>
  <c r="V69" i="23"/>
  <c r="W69" i="23" s="1"/>
  <c r="AV75" i="23"/>
  <c r="BA75" i="23" s="1"/>
  <c r="W110" i="23"/>
  <c r="L119" i="23"/>
  <c r="M119" i="23" s="1"/>
  <c r="W14" i="23"/>
  <c r="BA18" i="23"/>
  <c r="AQ47" i="23"/>
  <c r="AV47" i="23"/>
  <c r="BA47" i="23" s="1"/>
  <c r="W48" i="23"/>
  <c r="AG69" i="23"/>
  <c r="M70" i="23"/>
  <c r="M80" i="23"/>
  <c r="AG85" i="23"/>
  <c r="M92" i="23"/>
  <c r="AG98" i="23"/>
  <c r="M104" i="23"/>
  <c r="AG109" i="23"/>
  <c r="M117" i="23"/>
  <c r="AL123" i="23"/>
  <c r="AG123" i="23"/>
  <c r="AQ14" i="23"/>
  <c r="AP19" i="23"/>
  <c r="AQ19" i="23" s="1"/>
  <c r="AV38" i="23"/>
  <c r="BA38" i="23" s="1"/>
  <c r="AL50" i="23"/>
  <c r="AG50" i="23"/>
  <c r="W55" i="23"/>
  <c r="BA69" i="23"/>
  <c r="W115" i="23"/>
  <c r="V119" i="23"/>
  <c r="W119" i="23" s="1"/>
  <c r="AL24" i="23"/>
  <c r="W44" i="23"/>
  <c r="AQ48" i="23"/>
  <c r="W85" i="23"/>
  <c r="BA48" i="23"/>
  <c r="W88" i="23"/>
  <c r="AG101" i="23"/>
  <c r="AL101" i="23"/>
  <c r="AG113" i="23"/>
  <c r="AL113" i="23"/>
  <c r="AG71" i="23"/>
  <c r="M88" i="23"/>
  <c r="AQ110" i="23"/>
  <c r="AV110" i="23"/>
  <c r="BA110" i="23" s="1"/>
  <c r="AG79" i="23"/>
  <c r="AG116" i="23"/>
  <c r="AF107" i="23"/>
  <c r="AG107" i="23" s="1"/>
  <c r="AQ13" i="23"/>
  <c r="AV13" i="23"/>
  <c r="BA13" i="23" s="1"/>
  <c r="M20" i="23"/>
  <c r="AZ31" i="23"/>
  <c r="BA31" i="23" s="1"/>
  <c r="AG35" i="23"/>
  <c r="AF27" i="23"/>
  <c r="AG27" i="23" s="1"/>
  <c r="W79" i="23"/>
  <c r="W103" i="23"/>
  <c r="AG58" i="23"/>
  <c r="W71" i="23"/>
  <c r="AQ117" i="23"/>
  <c r="AV117" i="23"/>
  <c r="BA117" i="23" s="1"/>
  <c r="W30" i="23"/>
  <c r="M43" i="23"/>
  <c r="W63" i="23"/>
  <c r="W73" i="23"/>
  <c r="AF103" i="23"/>
  <c r="AG103" i="23" s="1"/>
  <c r="AF12" i="23"/>
  <c r="W19" i="23"/>
  <c r="M18" i="23"/>
  <c r="BA12" i="23"/>
  <c r="AG31" i="23"/>
  <c r="V12" i="23"/>
  <c r="AP38" i="23"/>
  <c r="AW19" i="23"/>
  <c r="M39" i="23"/>
  <c r="AF42" i="23"/>
  <c r="AG42" i="23" s="1"/>
  <c r="W27" i="23"/>
  <c r="BA23" i="23"/>
  <c r="L26" i="23"/>
  <c r="AZ32" i="23"/>
  <c r="W47" i="23"/>
  <c r="M49" i="23"/>
  <c r="AF55" i="23"/>
  <c r="AG55" i="23" s="1"/>
  <c r="L60" i="23"/>
  <c r="AG67" i="23"/>
  <c r="W91" i="23"/>
  <c r="W116" i="23"/>
  <c r="AF32" i="23"/>
  <c r="AG32" i="23" s="1"/>
  <c r="L34" i="23"/>
  <c r="M34" i="23" s="1"/>
  <c r="AQ52" i="23"/>
  <c r="AQ56" i="23"/>
  <c r="AG59" i="23"/>
  <c r="AL59" i="23"/>
  <c r="AG122" i="23"/>
  <c r="AL122" i="23"/>
  <c r="AF36" i="23"/>
  <c r="AQ55" i="23"/>
  <c r="AV55" i="23"/>
  <c r="BA55" i="23" s="1"/>
  <c r="BA60" i="23"/>
  <c r="AQ80" i="23"/>
  <c r="AV80" i="23"/>
  <c r="BA80" i="23" s="1"/>
  <c r="AQ104" i="23"/>
  <c r="AV104" i="23"/>
  <c r="BA104" i="23" s="1"/>
  <c r="M15" i="23"/>
  <c r="AG47" i="23"/>
  <c r="AL62" i="23"/>
  <c r="AG62" i="23"/>
  <c r="AF64" i="23"/>
  <c r="BA15" i="23"/>
  <c r="M30" i="23"/>
  <c r="AQ41" i="23"/>
  <c r="AV41" i="23"/>
  <c r="BA41" i="23" s="1"/>
  <c r="W66" i="23"/>
  <c r="AP70" i="23"/>
  <c r="AQ70" i="23" s="1"/>
  <c r="AG11" i="23"/>
  <c r="AL11" i="23"/>
  <c r="AO138" i="20" l="1"/>
  <c r="I59" i="23"/>
  <c r="S59" i="23" s="1"/>
  <c r="AW18" i="20"/>
  <c r="BF81" i="20"/>
  <c r="AV24" i="20"/>
  <c r="BD133" i="20"/>
  <c r="AO75" i="20"/>
  <c r="AY64" i="20"/>
  <c r="AY65" i="20" s="1"/>
  <c r="BA64" i="20"/>
  <c r="BA65" i="20" s="1"/>
  <c r="BF64" i="20"/>
  <c r="BF65" i="20" s="1"/>
  <c r="AZ64" i="20"/>
  <c r="AZ65" i="20" s="1"/>
  <c r="BH64" i="20"/>
  <c r="BH65" i="20" s="1"/>
  <c r="AW64" i="20"/>
  <c r="AW65" i="20" s="1"/>
  <c r="AO154" i="20"/>
  <c r="AO155" i="20" s="1"/>
  <c r="AD81" i="20"/>
  <c r="BK81" i="20" s="1"/>
  <c r="I71" i="23"/>
  <c r="N71" i="23" s="1"/>
  <c r="O71" i="23" s="1"/>
  <c r="AT135" i="20"/>
  <c r="BB87" i="20"/>
  <c r="BB88" i="20" s="1"/>
  <c r="BH111" i="20"/>
  <c r="BE53" i="20"/>
  <c r="I83" i="23"/>
  <c r="S83" i="23" s="1"/>
  <c r="BH53" i="20"/>
  <c r="BG53" i="20"/>
  <c r="BH119" i="20"/>
  <c r="BF123" i="20"/>
  <c r="BF118" i="20"/>
  <c r="AC87" i="20"/>
  <c r="AE87" i="20" s="1"/>
  <c r="BO87" i="20" s="1"/>
  <c r="BO88" i="20" s="1"/>
  <c r="BA123" i="20"/>
  <c r="BA118" i="20"/>
  <c r="I74" i="23"/>
  <c r="S74" i="23" s="1"/>
  <c r="AC74" i="23" s="1"/>
  <c r="AM74" i="23" s="1"/>
  <c r="AW74" i="23" s="1"/>
  <c r="BB74" i="23" s="1"/>
  <c r="AT132" i="20"/>
  <c r="AD79" i="20"/>
  <c r="BL79" i="20" s="1"/>
  <c r="BH87" i="20"/>
  <c r="BH88" i="20" s="1"/>
  <c r="AZ123" i="20"/>
  <c r="AZ118" i="20"/>
  <c r="BB24" i="20"/>
  <c r="AT110" i="20"/>
  <c r="BA112" i="20"/>
  <c r="AW53" i="20"/>
  <c r="AC81" i="20"/>
  <c r="AE81" i="20" s="1"/>
  <c r="BO81" i="20" s="1"/>
  <c r="BG97" i="20"/>
  <c r="AT95" i="20"/>
  <c r="AO122" i="20"/>
  <c r="AY50" i="20"/>
  <c r="AT76" i="20"/>
  <c r="AO32" i="20"/>
  <c r="BB106" i="20"/>
  <c r="BG73" i="20"/>
  <c r="AC94" i="20"/>
  <c r="AE94" i="20" s="1"/>
  <c r="BO94" i="20" s="1"/>
  <c r="BF96" i="20"/>
  <c r="AO39" i="20"/>
  <c r="I15" i="23"/>
  <c r="S15" i="23" s="1"/>
  <c r="AC15" i="23" s="1"/>
  <c r="AM15" i="23" s="1"/>
  <c r="AW15" i="23" s="1"/>
  <c r="BB15" i="23" s="1"/>
  <c r="BC15" i="23" s="1"/>
  <c r="BH99" i="20"/>
  <c r="BG113" i="20"/>
  <c r="AV106" i="20"/>
  <c r="I47" i="23"/>
  <c r="S47" i="23" s="1"/>
  <c r="AC47" i="23" s="1"/>
  <c r="AM47" i="23" s="1"/>
  <c r="AR47" i="23" s="1"/>
  <c r="AS47" i="23" s="1"/>
  <c r="AW106" i="20"/>
  <c r="AW99" i="20"/>
  <c r="AD96" i="20"/>
  <c r="BL96" i="20" s="1"/>
  <c r="BB18" i="20"/>
  <c r="BA18" i="20"/>
  <c r="X84" i="54"/>
  <c r="Y84" i="54" s="1"/>
  <c r="AH83" i="20" s="1"/>
  <c r="AH84" i="20" s="1"/>
  <c r="BG96" i="20"/>
  <c r="AC18" i="20"/>
  <c r="AE18" i="20" s="1"/>
  <c r="BO18" i="20" s="1"/>
  <c r="BD18" i="20"/>
  <c r="AW150" i="20"/>
  <c r="AD113" i="20"/>
  <c r="BL113" i="20" s="1"/>
  <c r="BN113" i="20" s="1"/>
  <c r="AD150" i="20"/>
  <c r="BL150" i="20" s="1"/>
  <c r="BN150" i="20" s="1"/>
  <c r="AY61" i="20"/>
  <c r="AX94" i="20"/>
  <c r="BG18" i="20"/>
  <c r="AV18" i="20"/>
  <c r="BL64" i="20"/>
  <c r="BN64" i="20" s="1"/>
  <c r="BN65" i="20" s="1"/>
  <c r="BF61" i="20"/>
  <c r="BF35" i="20"/>
  <c r="AX26" i="20"/>
  <c r="BB112" i="20"/>
  <c r="BE61" i="20"/>
  <c r="BH79" i="20"/>
  <c r="AW62" i="20"/>
  <c r="BG15" i="20"/>
  <c r="BG16" i="20" s="1"/>
  <c r="BE101" i="20"/>
  <c r="BE87" i="20"/>
  <c r="BE88" i="20" s="1"/>
  <c r="AD87" i="20"/>
  <c r="BK87" i="20" s="1"/>
  <c r="BD99" i="20"/>
  <c r="BG57" i="20"/>
  <c r="AZ24" i="20"/>
  <c r="AX101" i="20"/>
  <c r="BA73" i="20"/>
  <c r="BA111" i="20"/>
  <c r="BD73" i="20"/>
  <c r="AD61" i="20"/>
  <c r="BK61" i="20" s="1"/>
  <c r="AO43" i="20"/>
  <c r="BG87" i="20"/>
  <c r="BG88" i="20" s="1"/>
  <c r="AZ87" i="20"/>
  <c r="AZ88" i="20" s="1"/>
  <c r="I82" i="23"/>
  <c r="S82" i="23" s="1"/>
  <c r="AC82" i="23" s="1"/>
  <c r="AM82" i="23" s="1"/>
  <c r="AW82" i="23" s="1"/>
  <c r="BB82" i="23" s="1"/>
  <c r="BC82" i="23" s="1"/>
  <c r="AW47" i="20"/>
  <c r="AX57" i="20"/>
  <c r="I32" i="23"/>
  <c r="S32" i="23" s="1"/>
  <c r="AC32" i="23" s="1"/>
  <c r="AM32" i="23" s="1"/>
  <c r="AW32" i="23" s="1"/>
  <c r="BB32" i="23" s="1"/>
  <c r="AW26" i="20"/>
  <c r="AZ35" i="20"/>
  <c r="AC56" i="20"/>
  <c r="AU56" i="20" s="1"/>
  <c r="BA56" i="20"/>
  <c r="AV56" i="20"/>
  <c r="AZ56" i="20"/>
  <c r="BG56" i="20"/>
  <c r="AX56" i="20"/>
  <c r="I53" i="23"/>
  <c r="S53" i="23" s="1"/>
  <c r="AC53" i="23" s="1"/>
  <c r="AM53" i="23" s="1"/>
  <c r="AW53" i="23" s="1"/>
  <c r="BB53" i="23" s="1"/>
  <c r="AW56" i="20"/>
  <c r="AD56" i="20"/>
  <c r="BK56" i="20" s="1"/>
  <c r="BF56" i="20"/>
  <c r="AY56" i="20"/>
  <c r="BE56" i="20"/>
  <c r="BD56" i="20"/>
  <c r="BH56" i="20"/>
  <c r="BB56" i="20"/>
  <c r="AW52" i="20"/>
  <c r="AV52" i="20"/>
  <c r="BD52" i="20"/>
  <c r="AZ52" i="20"/>
  <c r="BG52" i="20"/>
  <c r="BA52" i="20"/>
  <c r="BB52" i="20"/>
  <c r="BF52" i="20"/>
  <c r="AD52" i="20"/>
  <c r="BK52" i="20" s="1"/>
  <c r="BE52" i="20"/>
  <c r="AX52" i="20"/>
  <c r="I49" i="23"/>
  <c r="AC52" i="20"/>
  <c r="AU52" i="20" s="1"/>
  <c r="AY52" i="20"/>
  <c r="BH52" i="20"/>
  <c r="BA145" i="20"/>
  <c r="AV99" i="20"/>
  <c r="BG99" i="20"/>
  <c r="BG23" i="20"/>
  <c r="AZ106" i="20"/>
  <c r="AY106" i="20"/>
  <c r="AV53" i="20"/>
  <c r="AX50" i="20"/>
  <c r="AC50" i="20"/>
  <c r="AE50" i="20" s="1"/>
  <c r="BO50" i="20" s="1"/>
  <c r="AO64" i="20"/>
  <c r="AO65" i="20" s="1"/>
  <c r="AX145" i="20"/>
  <c r="BB94" i="20"/>
  <c r="BV49" i="20"/>
  <c r="BD62" i="20"/>
  <c r="BH101" i="20"/>
  <c r="BF99" i="20"/>
  <c r="AD99" i="20"/>
  <c r="BL99" i="20" s="1"/>
  <c r="BN99" i="20" s="1"/>
  <c r="BE99" i="20"/>
  <c r="AY99" i="20"/>
  <c r="AC49" i="20"/>
  <c r="AU49" i="20" s="1"/>
  <c r="BJ49" i="20" s="1"/>
  <c r="BR49" i="20" s="1"/>
  <c r="BG47" i="20"/>
  <c r="AX22" i="20"/>
  <c r="BD97" i="20"/>
  <c r="BG31" i="20"/>
  <c r="Y137" i="20"/>
  <c r="AV137" i="20" s="1"/>
  <c r="X88" i="54"/>
  <c r="Y88" i="54" s="1"/>
  <c r="AH87" i="20" s="1"/>
  <c r="AH88" i="20" s="1"/>
  <c r="AT140" i="20"/>
  <c r="W115" i="20"/>
  <c r="Y115" i="20" s="1"/>
  <c r="AD115" i="20" s="1"/>
  <c r="W114" i="20"/>
  <c r="Y114" i="20" s="1"/>
  <c r="I93" i="23" s="1"/>
  <c r="S93" i="23" s="1"/>
  <c r="BH50" i="20"/>
  <c r="AV50" i="20"/>
  <c r="AY62" i="20"/>
  <c r="AZ99" i="20"/>
  <c r="AX106" i="20"/>
  <c r="BE106" i="20"/>
  <c r="AD53" i="20"/>
  <c r="BK53" i="20" s="1"/>
  <c r="BD53" i="20"/>
  <c r="AO44" i="20"/>
  <c r="BD50" i="20"/>
  <c r="AW50" i="20"/>
  <c r="AZ145" i="20"/>
  <c r="BA94" i="20"/>
  <c r="AO118" i="20"/>
  <c r="AD62" i="20"/>
  <c r="BK62" i="20" s="1"/>
  <c r="AO17" i="20"/>
  <c r="AX99" i="20"/>
  <c r="BB99" i="20"/>
  <c r="BA99" i="20"/>
  <c r="AV47" i="20"/>
  <c r="AD22" i="20"/>
  <c r="BK22" i="20" s="1"/>
  <c r="BE97" i="20"/>
  <c r="AO46" i="20"/>
  <c r="AO53" i="20"/>
  <c r="AX61" i="20"/>
  <c r="BH15" i="20"/>
  <c r="BH16" i="20" s="1"/>
  <c r="BG123" i="20"/>
  <c r="BB123" i="20"/>
  <c r="AW123" i="20"/>
  <c r="BG118" i="20"/>
  <c r="BB118" i="20"/>
  <c r="AW118" i="20"/>
  <c r="AV118" i="20"/>
  <c r="AO19" i="20"/>
  <c r="BF113" i="20"/>
  <c r="BD113" i="20"/>
  <c r="BA26" i="20"/>
  <c r="BD26" i="20"/>
  <c r="AZ26" i="20"/>
  <c r="AO142" i="20"/>
  <c r="AX112" i="20"/>
  <c r="BD112" i="20"/>
  <c r="AW145" i="20"/>
  <c r="AV61" i="20"/>
  <c r="AZ61" i="20"/>
  <c r="BG61" i="20"/>
  <c r="BG63" i="20" s="1"/>
  <c r="AY79" i="20"/>
  <c r="BB58" i="20"/>
  <c r="BF62" i="20"/>
  <c r="BE62" i="20"/>
  <c r="AO54" i="20"/>
  <c r="AC15" i="20"/>
  <c r="AU15" i="20" s="1"/>
  <c r="AU16" i="20" s="1"/>
  <c r="I81" i="23"/>
  <c r="N81" i="23" s="1"/>
  <c r="O81" i="23" s="1"/>
  <c r="AD129" i="20"/>
  <c r="AC123" i="20"/>
  <c r="AU123" i="20" s="1"/>
  <c r="BE123" i="20"/>
  <c r="BD123" i="20"/>
  <c r="I100" i="23"/>
  <c r="S100" i="23" s="1"/>
  <c r="AC118" i="20"/>
  <c r="AE118" i="20" s="1"/>
  <c r="BO118" i="20" s="1"/>
  <c r="BE118" i="20"/>
  <c r="BD118" i="20"/>
  <c r="BH47" i="20"/>
  <c r="BE47" i="20"/>
  <c r="BB22" i="20"/>
  <c r="AZ22" i="20"/>
  <c r="AZ81" i="20"/>
  <c r="AV81" i="20"/>
  <c r="AY81" i="20"/>
  <c r="AW81" i="20"/>
  <c r="BA113" i="20"/>
  <c r="I92" i="23"/>
  <c r="S92" i="23" s="1"/>
  <c r="AC92" i="23" s="1"/>
  <c r="AM92" i="23" s="1"/>
  <c r="AW92" i="23" s="1"/>
  <c r="BB92" i="23" s="1"/>
  <c r="BC92" i="23" s="1"/>
  <c r="BB57" i="20"/>
  <c r="AD31" i="20"/>
  <c r="BL31" i="20" s="1"/>
  <c r="BN31" i="20" s="1"/>
  <c r="AC24" i="20"/>
  <c r="AU24" i="20" s="1"/>
  <c r="BG26" i="20"/>
  <c r="I23" i="23"/>
  <c r="S23" i="23" s="1"/>
  <c r="AC23" i="23" s="1"/>
  <c r="AM23" i="23" s="1"/>
  <c r="AR23" i="23" s="1"/>
  <c r="AS23" i="23" s="1"/>
  <c r="AD118" i="20"/>
  <c r="BL118" i="20" s="1"/>
  <c r="BN118" i="20" s="1"/>
  <c r="AV112" i="20"/>
  <c r="AW112" i="20"/>
  <c r="BB61" i="20"/>
  <c r="BA61" i="20"/>
  <c r="AC61" i="20"/>
  <c r="AE61" i="20" s="1"/>
  <c r="BO61" i="20" s="1"/>
  <c r="AV123" i="20"/>
  <c r="AY22" i="20"/>
  <c r="AX81" i="20"/>
  <c r="BB81" i="20"/>
  <c r="BE81" i="20"/>
  <c r="X82" i="23"/>
  <c r="Y82" i="23" s="1"/>
  <c r="AO144" i="20"/>
  <c r="BH112" i="20"/>
  <c r="AZ112" i="20"/>
  <c r="AC145" i="20"/>
  <c r="AU145" i="20" s="1"/>
  <c r="AD145" i="20"/>
  <c r="BL145" i="20" s="1"/>
  <c r="BN145" i="20" s="1"/>
  <c r="BD61" i="20"/>
  <c r="BH61" i="20"/>
  <c r="AW61" i="20"/>
  <c r="AW63" i="20" s="1"/>
  <c r="I69" i="23"/>
  <c r="S69" i="23" s="1"/>
  <c r="AC69" i="23" s="1"/>
  <c r="AM69" i="23" s="1"/>
  <c r="AW69" i="23" s="1"/>
  <c r="BB69" i="23" s="1"/>
  <c r="BC69" i="23" s="1"/>
  <c r="AG135" i="20"/>
  <c r="BH62" i="20"/>
  <c r="I58" i="23"/>
  <c r="S58" i="23" s="1"/>
  <c r="AC58" i="23" s="1"/>
  <c r="AV51" i="20"/>
  <c r="AD15" i="20"/>
  <c r="BL15" i="20" s="1"/>
  <c r="AV98" i="20"/>
  <c r="AO123" i="20"/>
  <c r="AY123" i="20"/>
  <c r="AX123" i="20"/>
  <c r="BH123" i="20"/>
  <c r="AY118" i="20"/>
  <c r="AX118" i="20"/>
  <c r="BH118" i="20"/>
  <c r="AD47" i="20"/>
  <c r="BK47" i="20" s="1"/>
  <c r="BD47" i="20"/>
  <c r="BG22" i="20"/>
  <c r="BH22" i="20"/>
  <c r="AO31" i="20"/>
  <c r="BH81" i="20"/>
  <c r="BD81" i="20"/>
  <c r="BG81" i="20"/>
  <c r="AO101" i="20"/>
  <c r="AX113" i="20"/>
  <c r="AV113" i="20"/>
  <c r="BH31" i="20"/>
  <c r="BG24" i="20"/>
  <c r="AO72" i="20"/>
  <c r="AY26" i="20"/>
  <c r="I48" i="23"/>
  <c r="S48" i="23" s="1"/>
  <c r="AC48" i="23" s="1"/>
  <c r="AM48" i="23" s="1"/>
  <c r="AW48" i="23" s="1"/>
  <c r="BB48" i="23" s="1"/>
  <c r="BC48" i="23" s="1"/>
  <c r="X16" i="54"/>
  <c r="Y16" i="54" s="1"/>
  <c r="AH15" i="20" s="1"/>
  <c r="AH16" i="20" s="1"/>
  <c r="BE55" i="20"/>
  <c r="AC55" i="20"/>
  <c r="AU55" i="20" s="1"/>
  <c r="AZ55" i="20"/>
  <c r="BH55" i="20"/>
  <c r="BA55" i="20"/>
  <c r="AO120" i="20"/>
  <c r="AO35" i="20"/>
  <c r="AO114" i="20"/>
  <c r="BB111" i="20"/>
  <c r="BF106" i="20"/>
  <c r="AD106" i="20"/>
  <c r="BL106" i="20" s="1"/>
  <c r="AC106" i="20"/>
  <c r="AE106" i="20" s="1"/>
  <c r="BO106" i="20" s="1"/>
  <c r="I86" i="23"/>
  <c r="S86" i="23" s="1"/>
  <c r="X86" i="23" s="1"/>
  <c r="Y86" i="23" s="1"/>
  <c r="AW73" i="20"/>
  <c r="I65" i="23"/>
  <c r="S65" i="23" s="1"/>
  <c r="AC65" i="23" s="1"/>
  <c r="AH65" i="23" s="1"/>
  <c r="AI65" i="23" s="1"/>
  <c r="AZ53" i="20"/>
  <c r="BB53" i="20"/>
  <c r="AY53" i="20"/>
  <c r="I50" i="23"/>
  <c r="S50" i="23" s="1"/>
  <c r="AC50" i="23" s="1"/>
  <c r="AM50" i="23" s="1"/>
  <c r="AW50" i="23" s="1"/>
  <c r="BB50" i="23" s="1"/>
  <c r="BE145" i="20"/>
  <c r="BH145" i="20"/>
  <c r="BH94" i="20"/>
  <c r="I78" i="23"/>
  <c r="N78" i="23" s="1"/>
  <c r="O78" i="23" s="1"/>
  <c r="BD79" i="20"/>
  <c r="AX58" i="20"/>
  <c r="AZ96" i="20"/>
  <c r="AW96" i="20"/>
  <c r="AX62" i="20"/>
  <c r="BB62" i="20"/>
  <c r="BB63" i="20" s="1"/>
  <c r="BA62" i="20"/>
  <c r="AC62" i="20"/>
  <c r="AE62" i="20" s="1"/>
  <c r="BO62" i="20" s="1"/>
  <c r="BE51" i="20"/>
  <c r="AY15" i="20"/>
  <c r="AY16" i="20" s="1"/>
  <c r="I13" i="23"/>
  <c r="S13" i="23" s="1"/>
  <c r="AC13" i="23" s="1"/>
  <c r="AM13" i="23" s="1"/>
  <c r="AW13" i="23" s="1"/>
  <c r="BB13" i="23" s="1"/>
  <c r="BC13" i="23" s="1"/>
  <c r="AW87" i="20"/>
  <c r="BD87" i="20"/>
  <c r="BD88" i="20" s="1"/>
  <c r="BF87" i="20"/>
  <c r="BF88" i="20" s="1"/>
  <c r="AZ125" i="20"/>
  <c r="AY119" i="20"/>
  <c r="BE18" i="20"/>
  <c r="BF18" i="20"/>
  <c r="AZ18" i="20"/>
  <c r="AZ47" i="20"/>
  <c r="AX47" i="20"/>
  <c r="AC47" i="20"/>
  <c r="AE47" i="20" s="1"/>
  <c r="BO47" i="20" s="1"/>
  <c r="BA47" i="20"/>
  <c r="AW22" i="20"/>
  <c r="BF22" i="20"/>
  <c r="AC22" i="20"/>
  <c r="AE22" i="20" s="1"/>
  <c r="BO22" i="20" s="1"/>
  <c r="AV22" i="20"/>
  <c r="AO150" i="20"/>
  <c r="AO152" i="20" s="1"/>
  <c r="BB113" i="20"/>
  <c r="AW113" i="20"/>
  <c r="AZ113" i="20"/>
  <c r="BF97" i="20"/>
  <c r="AW97" i="20"/>
  <c r="AZ57" i="20"/>
  <c r="AC57" i="20"/>
  <c r="AE57" i="20" s="1"/>
  <c r="BO57" i="20" s="1"/>
  <c r="AX35" i="20"/>
  <c r="BB31" i="20"/>
  <c r="AO29" i="20"/>
  <c r="BE24" i="20"/>
  <c r="AO134" i="20"/>
  <c r="I120" i="23"/>
  <c r="S120" i="23" s="1"/>
  <c r="AC120" i="23" s="1"/>
  <c r="AM120" i="23" s="1"/>
  <c r="AC97" i="20"/>
  <c r="AU97" i="20" s="1"/>
  <c r="BA31" i="20"/>
  <c r="I101" i="23"/>
  <c r="S101" i="23" s="1"/>
  <c r="AY150" i="20"/>
  <c r="X80" i="54"/>
  <c r="Y80" i="54" s="1"/>
  <c r="AH79" i="20" s="1"/>
  <c r="AO79" i="20" s="1"/>
  <c r="X92" i="54"/>
  <c r="Y92" i="54" s="1"/>
  <c r="AH91" i="20" s="1"/>
  <c r="AH92" i="20" s="1"/>
  <c r="AO28" i="20"/>
  <c r="AO102" i="20"/>
  <c r="AO103" i="20" s="1"/>
  <c r="AO23" i="20"/>
  <c r="AO137" i="20"/>
  <c r="BF111" i="20"/>
  <c r="BH106" i="20"/>
  <c r="BD106" i="20"/>
  <c r="BG106" i="20"/>
  <c r="AO73" i="20"/>
  <c r="BH73" i="20"/>
  <c r="BF53" i="20"/>
  <c r="AX53" i="20"/>
  <c r="AC53" i="20"/>
  <c r="AE53" i="20" s="1"/>
  <c r="BO53" i="20" s="1"/>
  <c r="AO98" i="20"/>
  <c r="AO100" i="20" s="1"/>
  <c r="BG145" i="20"/>
  <c r="BB145" i="20"/>
  <c r="AV145" i="20"/>
  <c r="BD94" i="20"/>
  <c r="AW94" i="20"/>
  <c r="BE79" i="20"/>
  <c r="BF79" i="20"/>
  <c r="BG58" i="20"/>
  <c r="AO119" i="20"/>
  <c r="AV96" i="20"/>
  <c r="I79" i="23"/>
  <c r="N79" i="23" s="1"/>
  <c r="O79" i="23" s="1"/>
  <c r="AV62" i="20"/>
  <c r="AZ62" i="20"/>
  <c r="BE15" i="20"/>
  <c r="BE16" i="20" s="1"/>
  <c r="BD15" i="20"/>
  <c r="BD16" i="20" s="1"/>
  <c r="AO74" i="20"/>
  <c r="AO94" i="20"/>
  <c r="AY87" i="20"/>
  <c r="AY88" i="20" s="1"/>
  <c r="BA87" i="20"/>
  <c r="BA88" i="20" s="1"/>
  <c r="AV87" i="20"/>
  <c r="AV88" i="20" s="1"/>
  <c r="AX18" i="20"/>
  <c r="AY18" i="20"/>
  <c r="BH18" i="20"/>
  <c r="BF47" i="20"/>
  <c r="BB47" i="20"/>
  <c r="AY47" i="20"/>
  <c r="BA22" i="20"/>
  <c r="BE22" i="20"/>
  <c r="AY113" i="20"/>
  <c r="BE113" i="20"/>
  <c r="BH113" i="20"/>
  <c r="AV57" i="20"/>
  <c r="BA57" i="20"/>
  <c r="BE35" i="20"/>
  <c r="AY31" i="20"/>
  <c r="BF24" i="20"/>
  <c r="AO146" i="20"/>
  <c r="AY48" i="20"/>
  <c r="BA48" i="20"/>
  <c r="AV48" i="20"/>
  <c r="BD48" i="20"/>
  <c r="AW48" i="20"/>
  <c r="I43" i="23"/>
  <c r="AC46" i="20"/>
  <c r="AU46" i="20" s="1"/>
  <c r="AY46" i="20"/>
  <c r="BH46" i="20"/>
  <c r="BB46" i="20"/>
  <c r="BF46" i="20"/>
  <c r="AX46" i="20"/>
  <c r="AW46" i="20"/>
  <c r="AV46" i="20"/>
  <c r="BD46" i="20"/>
  <c r="AD46" i="20"/>
  <c r="BK46" i="20" s="1"/>
  <c r="BA46" i="20"/>
  <c r="BE46" i="20"/>
  <c r="BG46" i="20"/>
  <c r="AZ46" i="20"/>
  <c r="BZ45" i="20"/>
  <c r="BV45" i="20"/>
  <c r="AY111" i="20"/>
  <c r="AX55" i="20"/>
  <c r="BG55" i="20"/>
  <c r="AW55" i="20"/>
  <c r="AY112" i="20"/>
  <c r="I91" i="23"/>
  <c r="S91" i="23" s="1"/>
  <c r="AC91" i="23" s="1"/>
  <c r="AM91" i="23" s="1"/>
  <c r="BD111" i="20"/>
  <c r="AD111" i="20"/>
  <c r="BL111" i="20" s="1"/>
  <c r="AC111" i="20"/>
  <c r="AU111" i="20" s="1"/>
  <c r="I90" i="23"/>
  <c r="S90" i="23" s="1"/>
  <c r="AC90" i="23" s="1"/>
  <c r="AM90" i="23" s="1"/>
  <c r="AW90" i="23" s="1"/>
  <c r="BB90" i="23" s="1"/>
  <c r="BC90" i="23" s="1"/>
  <c r="AY73" i="20"/>
  <c r="AG86" i="20"/>
  <c r="AV94" i="20"/>
  <c r="AZ94" i="20"/>
  <c r="BG94" i="20"/>
  <c r="BA79" i="20"/>
  <c r="AW79" i="20"/>
  <c r="AZ79" i="20"/>
  <c r="BB79" i="20"/>
  <c r="AG78" i="20"/>
  <c r="BB96" i="20"/>
  <c r="AX96" i="20"/>
  <c r="BE96" i="20"/>
  <c r="AY96" i="20"/>
  <c r="AX15" i="20"/>
  <c r="AX16" i="20" s="1"/>
  <c r="BF15" i="20"/>
  <c r="BF16" i="20" s="1"/>
  <c r="AZ15" i="20"/>
  <c r="AZ16" i="20" s="1"/>
  <c r="AZ98" i="20"/>
  <c r="AW98" i="20"/>
  <c r="AP156" i="20"/>
  <c r="AV138" i="20"/>
  <c r="BB133" i="20"/>
  <c r="BF55" i="20"/>
  <c r="BB55" i="20"/>
  <c r="AY55" i="20"/>
  <c r="AC35" i="20"/>
  <c r="AU35" i="20" s="1"/>
  <c r="BD35" i="20"/>
  <c r="AO42" i="20"/>
  <c r="BH150" i="20"/>
  <c r="AX150" i="20"/>
  <c r="BG150" i="20"/>
  <c r="AH76" i="20"/>
  <c r="AO81" i="20"/>
  <c r="Y45" i="20"/>
  <c r="AC45" i="20" s="1"/>
  <c r="AU45" i="20" s="1"/>
  <c r="BJ45" i="20" s="1"/>
  <c r="BR45" i="20" s="1"/>
  <c r="BK65" i="20"/>
  <c r="Y107" i="20"/>
  <c r="I87" i="23" s="1"/>
  <c r="AZ111" i="20"/>
  <c r="AV111" i="20"/>
  <c r="AW111" i="20"/>
  <c r="BB98" i="20"/>
  <c r="BE98" i="20"/>
  <c r="BB138" i="20"/>
  <c r="AO36" i="20"/>
  <c r="BD55" i="20"/>
  <c r="I20" i="23"/>
  <c r="S20" i="23" s="1"/>
  <c r="AC20" i="23" s="1"/>
  <c r="AM20" i="23" s="1"/>
  <c r="AW20" i="23" s="1"/>
  <c r="BB20" i="23" s="1"/>
  <c r="BC20" i="23" s="1"/>
  <c r="AU64" i="20"/>
  <c r="AU65" i="20" s="1"/>
  <c r="BB150" i="20"/>
  <c r="BA150" i="20"/>
  <c r="AZ150" i="20"/>
  <c r="BD150" i="20"/>
  <c r="AD112" i="20"/>
  <c r="BK112" i="20" s="1"/>
  <c r="AC112" i="20"/>
  <c r="AU112" i="20" s="1"/>
  <c r="BF73" i="20"/>
  <c r="AV73" i="20"/>
  <c r="AO108" i="20"/>
  <c r="AD50" i="20"/>
  <c r="BK50" i="20" s="1"/>
  <c r="BG50" i="20"/>
  <c r="BE50" i="20"/>
  <c r="BG112" i="20"/>
  <c r="BF112" i="20"/>
  <c r="AX111" i="20"/>
  <c r="BG111" i="20"/>
  <c r="AC73" i="20"/>
  <c r="AU73" i="20" s="1"/>
  <c r="AX73" i="20"/>
  <c r="AD73" i="20"/>
  <c r="BK73" i="20" s="1"/>
  <c r="AZ50" i="20"/>
  <c r="BF50" i="20"/>
  <c r="BB50" i="20"/>
  <c r="BF94" i="20"/>
  <c r="AD94" i="20"/>
  <c r="BL94" i="20" s="1"/>
  <c r="BN94" i="20" s="1"/>
  <c r="BE94" i="20"/>
  <c r="BG79" i="20"/>
  <c r="AC79" i="20"/>
  <c r="AU79" i="20" s="1"/>
  <c r="AV79" i="20"/>
  <c r="BH96" i="20"/>
  <c r="BD96" i="20"/>
  <c r="BA96" i="20"/>
  <c r="BB15" i="20"/>
  <c r="BB16" i="20" s="1"/>
  <c r="AW15" i="20"/>
  <c r="BA15" i="20"/>
  <c r="BA16" i="20" s="1"/>
  <c r="AX98" i="20"/>
  <c r="AO93" i="20"/>
  <c r="AO33" i="20"/>
  <c r="AD55" i="20"/>
  <c r="AV55" i="20"/>
  <c r="AO38" i="20"/>
  <c r="AW35" i="20"/>
  <c r="AV150" i="20"/>
  <c r="BE150" i="20"/>
  <c r="AC150" i="20"/>
  <c r="AE150" i="20" s="1"/>
  <c r="BO150" i="20" s="1"/>
  <c r="BD65" i="20"/>
  <c r="BI64" i="20"/>
  <c r="BI65" i="20" s="1"/>
  <c r="AO133" i="20"/>
  <c r="I51" i="23"/>
  <c r="AC54" i="20"/>
  <c r="AU54" i="20" s="1"/>
  <c r="AY54" i="20"/>
  <c r="AZ54" i="20"/>
  <c r="AW54" i="20"/>
  <c r="AV54" i="20"/>
  <c r="BD54" i="20"/>
  <c r="AD54" i="20"/>
  <c r="BK54" i="20" s="1"/>
  <c r="BH54" i="20"/>
  <c r="BA54" i="20"/>
  <c r="BB54" i="20"/>
  <c r="AX54" i="20"/>
  <c r="BF54" i="20"/>
  <c r="BE54" i="20"/>
  <c r="BG54" i="20"/>
  <c r="S55" i="23"/>
  <c r="AC55" i="23" s="1"/>
  <c r="AM55" i="23" s="1"/>
  <c r="AW55" i="23" s="1"/>
  <c r="BB55" i="23" s="1"/>
  <c r="BC55" i="23" s="1"/>
  <c r="N55" i="23"/>
  <c r="O55" i="23" s="1"/>
  <c r="BH58" i="20"/>
  <c r="BD58" i="20"/>
  <c r="BE58" i="20"/>
  <c r="AY58" i="20"/>
  <c r="BH48" i="20"/>
  <c r="AX48" i="20"/>
  <c r="AC48" i="20"/>
  <c r="AU48" i="20" s="1"/>
  <c r="I45" i="23"/>
  <c r="AZ51" i="20"/>
  <c r="AD51" i="20"/>
  <c r="BL51" i="20" s="1"/>
  <c r="BN51" i="20" s="1"/>
  <c r="AC51" i="20"/>
  <c r="AU51" i="20" s="1"/>
  <c r="BA51" i="20"/>
  <c r="AW101" i="20"/>
  <c r="BD101" i="20"/>
  <c r="BF101" i="20"/>
  <c r="X14" i="54"/>
  <c r="Y14" i="54" s="1"/>
  <c r="AH13" i="20" s="1"/>
  <c r="AH14" i="20" s="1"/>
  <c r="BE138" i="20"/>
  <c r="I111" i="23"/>
  <c r="S111" i="23" s="1"/>
  <c r="AC111" i="23" s="1"/>
  <c r="AX125" i="20"/>
  <c r="AD125" i="20"/>
  <c r="BK125" i="20" s="1"/>
  <c r="BA23" i="20"/>
  <c r="AW23" i="20"/>
  <c r="AT82" i="20"/>
  <c r="BO23" i="11"/>
  <c r="BN105" i="11"/>
  <c r="BO105" i="11" s="1"/>
  <c r="W109" i="20"/>
  <c r="Y109" i="20" s="1"/>
  <c r="W108" i="20"/>
  <c r="Y108" i="20" s="1"/>
  <c r="BG91" i="20"/>
  <c r="BG92" i="20" s="1"/>
  <c r="AZ91" i="20"/>
  <c r="AZ92" i="20" s="1"/>
  <c r="BB91" i="20"/>
  <c r="BB92" i="20" s="1"/>
  <c r="AC91" i="20"/>
  <c r="AY91" i="20"/>
  <c r="AY92" i="20" s="1"/>
  <c r="AV91" i="20"/>
  <c r="AV92" i="20" s="1"/>
  <c r="AX91" i="20"/>
  <c r="AX92" i="20" s="1"/>
  <c r="BE91" i="20"/>
  <c r="BE92" i="20" s="1"/>
  <c r="I76" i="23"/>
  <c r="BD91" i="20"/>
  <c r="BF91" i="20"/>
  <c r="BF92" i="20" s="1"/>
  <c r="BA91" i="20"/>
  <c r="BA92" i="20" s="1"/>
  <c r="AD91" i="20"/>
  <c r="BH91" i="20"/>
  <c r="BH92" i="20" s="1"/>
  <c r="AW91" i="20"/>
  <c r="AM44" i="23"/>
  <c r="AW44" i="23" s="1"/>
  <c r="BB44" i="23" s="1"/>
  <c r="BC44" i="23" s="1"/>
  <c r="N44" i="23"/>
  <c r="O44" i="23" s="1"/>
  <c r="AO127" i="20"/>
  <c r="AF156" i="20"/>
  <c r="AH124" i="20"/>
  <c r="AZ58" i="20"/>
  <c r="AV58" i="20"/>
  <c r="BA58" i="20"/>
  <c r="AC58" i="20"/>
  <c r="AG63" i="20"/>
  <c r="AZ48" i="20"/>
  <c r="BG48" i="20"/>
  <c r="BE48" i="20"/>
  <c r="BH51" i="20"/>
  <c r="BG51" i="20"/>
  <c r="BD51" i="20"/>
  <c r="AW51" i="20"/>
  <c r="BG101" i="20"/>
  <c r="AC101" i="20"/>
  <c r="AU101" i="20" s="1"/>
  <c r="AZ101" i="20"/>
  <c r="BB101" i="20"/>
  <c r="BG138" i="20"/>
  <c r="AW138" i="20"/>
  <c r="BA125" i="20"/>
  <c r="AC23" i="20"/>
  <c r="AE23" i="20" s="1"/>
  <c r="BO23" i="20" s="1"/>
  <c r="BD23" i="20"/>
  <c r="AE64" i="20"/>
  <c r="BO64" i="20" s="1"/>
  <c r="BO65" i="20" s="1"/>
  <c r="AI156" i="20"/>
  <c r="BF58" i="20"/>
  <c r="AD58" i="20"/>
  <c r="BL58" i="20" s="1"/>
  <c r="BN58" i="20" s="1"/>
  <c r="AW58" i="20"/>
  <c r="BF48" i="20"/>
  <c r="AD48" i="20"/>
  <c r="BL48" i="20" s="1"/>
  <c r="BN48" i="20" s="1"/>
  <c r="BB48" i="20"/>
  <c r="AX51" i="20"/>
  <c r="BB51" i="20"/>
  <c r="AY51" i="20"/>
  <c r="AY101" i="20"/>
  <c r="BA101" i="20"/>
  <c r="AV101" i="20"/>
  <c r="AC138" i="20"/>
  <c r="AE138" i="20" s="1"/>
  <c r="BO138" i="20" s="1"/>
  <c r="BD138" i="20"/>
  <c r="AY125" i="20"/>
  <c r="BH125" i="20"/>
  <c r="AG95" i="20"/>
  <c r="BF23" i="20"/>
  <c r="AV23" i="20"/>
  <c r="AH100" i="20"/>
  <c r="AG100" i="20"/>
  <c r="AH103" i="20"/>
  <c r="N96" i="23"/>
  <c r="O96" i="23" s="1"/>
  <c r="AO70" i="20"/>
  <c r="AG70" i="20"/>
  <c r="AG116" i="20"/>
  <c r="AH95" i="20"/>
  <c r="AG92" i="20"/>
  <c r="BG133" i="20"/>
  <c r="AW133" i="20"/>
  <c r="AX119" i="20"/>
  <c r="AD119" i="20"/>
  <c r="BL119" i="20" s="1"/>
  <c r="BN119" i="20" s="1"/>
  <c r="AH135" i="20"/>
  <c r="AG152" i="20"/>
  <c r="AG121" i="20"/>
  <c r="AT155" i="20"/>
  <c r="AG155" i="20"/>
  <c r="AG140" i="20"/>
  <c r="AC133" i="20"/>
  <c r="AU133" i="20" s="1"/>
  <c r="AG14" i="20"/>
  <c r="BH97" i="20"/>
  <c r="AJ156" i="20"/>
  <c r="AG103" i="20"/>
  <c r="AZ133" i="20"/>
  <c r="BA133" i="20"/>
  <c r="BF133" i="20"/>
  <c r="AD133" i="20"/>
  <c r="BL133" i="20" s="1"/>
  <c r="BH133" i="20"/>
  <c r="AX133" i="20"/>
  <c r="AY133" i="20"/>
  <c r="I97" i="23"/>
  <c r="S97" i="23" s="1"/>
  <c r="AC97" i="23" s="1"/>
  <c r="AM97" i="23" s="1"/>
  <c r="AW97" i="23" s="1"/>
  <c r="BB97" i="23" s="1"/>
  <c r="BD119" i="20"/>
  <c r="BE119" i="20"/>
  <c r="AC119" i="20"/>
  <c r="AV119" i="20"/>
  <c r="AW119" i="20"/>
  <c r="BB119" i="20"/>
  <c r="BG119" i="20"/>
  <c r="AG124" i="20"/>
  <c r="AG65" i="20"/>
  <c r="M149" i="54"/>
  <c r="X149" i="54"/>
  <c r="Y149" i="54" s="1"/>
  <c r="AH148" i="20" s="1"/>
  <c r="AH149" i="20" s="1"/>
  <c r="AG110" i="20"/>
  <c r="X90" i="54"/>
  <c r="Y90" i="54" s="1"/>
  <c r="AH89" i="20" s="1"/>
  <c r="AH90" i="20" s="1"/>
  <c r="BE133" i="20"/>
  <c r="I107" i="23"/>
  <c r="BF119" i="20"/>
  <c r="AZ119" i="20"/>
  <c r="AH121" i="20"/>
  <c r="I80" i="23"/>
  <c r="S80" i="23" s="1"/>
  <c r="AZ97" i="20"/>
  <c r="AV97" i="20"/>
  <c r="AY97" i="20"/>
  <c r="BA97" i="20"/>
  <c r="BB97" i="20"/>
  <c r="AX97" i="20"/>
  <c r="AV31" i="20"/>
  <c r="AX31" i="20"/>
  <c r="AW31" i="20"/>
  <c r="BE31" i="20"/>
  <c r="I28" i="23"/>
  <c r="S28" i="23" s="1"/>
  <c r="AC28" i="23" s="1"/>
  <c r="AM28" i="23" s="1"/>
  <c r="AW28" i="23" s="1"/>
  <c r="BB28" i="23" s="1"/>
  <c r="BC28" i="23" s="1"/>
  <c r="BD31" i="20"/>
  <c r="BF31" i="20"/>
  <c r="AC31" i="20"/>
  <c r="AU31" i="20" s="1"/>
  <c r="AR156" i="20"/>
  <c r="BG98" i="20"/>
  <c r="AD98" i="20"/>
  <c r="BK98" i="20" s="1"/>
  <c r="BF98" i="20"/>
  <c r="AC98" i="20"/>
  <c r="BA98" i="20"/>
  <c r="BD98" i="20"/>
  <c r="BH98" i="20"/>
  <c r="AT116" i="20"/>
  <c r="AY83" i="20"/>
  <c r="AY84" i="20" s="1"/>
  <c r="BE83" i="20"/>
  <c r="BE84" i="20" s="1"/>
  <c r="AW83" i="20"/>
  <c r="BA83" i="20"/>
  <c r="BA84" i="20" s="1"/>
  <c r="AD83" i="20"/>
  <c r="BH83" i="20"/>
  <c r="BH84" i="20" s="1"/>
  <c r="AC83" i="20"/>
  <c r="AV83" i="20"/>
  <c r="AV84" i="20" s="1"/>
  <c r="AX83" i="20"/>
  <c r="BG83" i="20"/>
  <c r="BG84" i="20" s="1"/>
  <c r="AZ83" i="20"/>
  <c r="AZ84" i="20" s="1"/>
  <c r="BB83" i="20"/>
  <c r="BB84" i="20" s="1"/>
  <c r="I72" i="23"/>
  <c r="BD83" i="20"/>
  <c r="BF83" i="20"/>
  <c r="BF84" i="20" s="1"/>
  <c r="AT147" i="20"/>
  <c r="BM65" i="20"/>
  <c r="AG90" i="20"/>
  <c r="BE73" i="20"/>
  <c r="BB73" i="20"/>
  <c r="AG147" i="20"/>
  <c r="AY145" i="20"/>
  <c r="BF145" i="20"/>
  <c r="BD145" i="20"/>
  <c r="AY138" i="20"/>
  <c r="AX138" i="20"/>
  <c r="BH138" i="20"/>
  <c r="AD138" i="20"/>
  <c r="BK138" i="20" s="1"/>
  <c r="BG125" i="20"/>
  <c r="BB125" i="20"/>
  <c r="AW125" i="20"/>
  <c r="AV125" i="20"/>
  <c r="AX23" i="20"/>
  <c r="AY23" i="20"/>
  <c r="BH23" i="20"/>
  <c r="AD23" i="20"/>
  <c r="BL23" i="20" s="1"/>
  <c r="BN23" i="20" s="1"/>
  <c r="AD57" i="20"/>
  <c r="BL57" i="20" s="1"/>
  <c r="BN57" i="20" s="1"/>
  <c r="BF57" i="20"/>
  <c r="AW57" i="20"/>
  <c r="I54" i="23"/>
  <c r="S54" i="23" s="1"/>
  <c r="AC54" i="23" s="1"/>
  <c r="AM54" i="23" s="1"/>
  <c r="AR54" i="23" s="1"/>
  <c r="AS54" i="23" s="1"/>
  <c r="AY35" i="20"/>
  <c r="BB35" i="20"/>
  <c r="BH35" i="20"/>
  <c r="AD35" i="20"/>
  <c r="BK35" i="20" s="1"/>
  <c r="AX24" i="20"/>
  <c r="BA24" i="20"/>
  <c r="BH24" i="20"/>
  <c r="AD24" i="20"/>
  <c r="BK24" i="20" s="1"/>
  <c r="BF26" i="20"/>
  <c r="AC26" i="20"/>
  <c r="BH26" i="20"/>
  <c r="AD26" i="20"/>
  <c r="BK26" i="20" s="1"/>
  <c r="BF138" i="20"/>
  <c r="BA138" i="20"/>
  <c r="AC125" i="20"/>
  <c r="BE125" i="20"/>
  <c r="BD125" i="20"/>
  <c r="BE23" i="20"/>
  <c r="BB23" i="20"/>
  <c r="BD57" i="20"/>
  <c r="BH57" i="20"/>
  <c r="BE57" i="20"/>
  <c r="BG35" i="20"/>
  <c r="BA35" i="20"/>
  <c r="I21" i="23"/>
  <c r="S21" i="23" s="1"/>
  <c r="AC21" i="23" s="1"/>
  <c r="AW24" i="20"/>
  <c r="AY24" i="20"/>
  <c r="BE26" i="20"/>
  <c r="BB26" i="20"/>
  <c r="AG82" i="20"/>
  <c r="AT152" i="20"/>
  <c r="AW42" i="23"/>
  <c r="BB42" i="23" s="1"/>
  <c r="AH52" i="23"/>
  <c r="AI52" i="23" s="1"/>
  <c r="BA87" i="23"/>
  <c r="X52" i="23"/>
  <c r="BA65" i="23"/>
  <c r="AR104" i="23"/>
  <c r="O19" i="23"/>
  <c r="BB19" i="23"/>
  <c r="BC19" i="23" s="1"/>
  <c r="X44" i="23"/>
  <c r="Y44" i="23" s="1"/>
  <c r="X42" i="23"/>
  <c r="Y42" i="23" s="1"/>
  <c r="BC104" i="23"/>
  <c r="X19" i="23"/>
  <c r="Y19" i="23" s="1"/>
  <c r="AH104" i="23"/>
  <c r="AI104" i="23" s="1"/>
  <c r="BZ27" i="20"/>
  <c r="BV27" i="20"/>
  <c r="I123" i="23"/>
  <c r="AX154" i="20"/>
  <c r="BB154" i="20"/>
  <c r="BF154" i="20"/>
  <c r="AD154" i="20"/>
  <c r="AV154" i="20"/>
  <c r="AZ154" i="20"/>
  <c r="BD154" i="20"/>
  <c r="BH154" i="20"/>
  <c r="BA154" i="20"/>
  <c r="AW154" i="20"/>
  <c r="BE154" i="20"/>
  <c r="AC154" i="20"/>
  <c r="AY154" i="20"/>
  <c r="BG154" i="20"/>
  <c r="I73" i="23"/>
  <c r="AC85" i="20"/>
  <c r="AY85" i="20"/>
  <c r="AY86" i="20" s="1"/>
  <c r="BG85" i="20"/>
  <c r="BG86" i="20" s="1"/>
  <c r="AW85" i="20"/>
  <c r="BA85" i="20"/>
  <c r="BA86" i="20" s="1"/>
  <c r="BE85" i="20"/>
  <c r="BE86" i="20" s="1"/>
  <c r="AD85" i="20"/>
  <c r="AZ85" i="20"/>
  <c r="AZ86" i="20" s="1"/>
  <c r="BH85" i="20"/>
  <c r="BH86" i="20" s="1"/>
  <c r="BB85" i="20"/>
  <c r="BB86" i="20" s="1"/>
  <c r="AV85" i="20"/>
  <c r="AV86" i="20" s="1"/>
  <c r="BD85" i="20"/>
  <c r="AX85" i="20"/>
  <c r="AX86" i="20" s="1"/>
  <c r="BF85" i="20"/>
  <c r="BF86" i="20" s="1"/>
  <c r="S160" i="54"/>
  <c r="AG11" i="20"/>
  <c r="I14" i="23"/>
  <c r="AD17" i="20"/>
  <c r="AV17" i="20"/>
  <c r="AZ17" i="20"/>
  <c r="BD17" i="20"/>
  <c r="BH17" i="20"/>
  <c r="AX17" i="20"/>
  <c r="AC17" i="20"/>
  <c r="AW17" i="20"/>
  <c r="BE17" i="20"/>
  <c r="BA17" i="20"/>
  <c r="BG17" i="20"/>
  <c r="BB17" i="20"/>
  <c r="BF17" i="20"/>
  <c r="AY17" i="20"/>
  <c r="M12" i="54"/>
  <c r="X12" i="54"/>
  <c r="I115" i="23"/>
  <c r="AD143" i="20"/>
  <c r="AV143" i="20"/>
  <c r="AZ143" i="20"/>
  <c r="BD143" i="20"/>
  <c r="BH143" i="20"/>
  <c r="AX143" i="20"/>
  <c r="BB143" i="20"/>
  <c r="BF143" i="20"/>
  <c r="AC143" i="20"/>
  <c r="AY143" i="20"/>
  <c r="BG143" i="20"/>
  <c r="BA143" i="20"/>
  <c r="BE143" i="20"/>
  <c r="AW143" i="20"/>
  <c r="I31" i="23"/>
  <c r="AD34" i="20"/>
  <c r="AV34" i="20"/>
  <c r="AZ34" i="20"/>
  <c r="BD34" i="20"/>
  <c r="BH34" i="20"/>
  <c r="BA34" i="20"/>
  <c r="BF34" i="20"/>
  <c r="AX34" i="20"/>
  <c r="BB34" i="20"/>
  <c r="AW34" i="20"/>
  <c r="BG34" i="20"/>
  <c r="AC34" i="20"/>
  <c r="AY34" i="20"/>
  <c r="BE34" i="20"/>
  <c r="I112" i="23"/>
  <c r="AD139" i="20"/>
  <c r="AV139" i="20"/>
  <c r="AZ139" i="20"/>
  <c r="BD139" i="20"/>
  <c r="BH139" i="20"/>
  <c r="AW139" i="20"/>
  <c r="BA139" i="20"/>
  <c r="BE139" i="20"/>
  <c r="AX139" i="20"/>
  <c r="BB139" i="20"/>
  <c r="BF139" i="20"/>
  <c r="AC139" i="20"/>
  <c r="AY139" i="20"/>
  <c r="BG139" i="20"/>
  <c r="I103" i="23"/>
  <c r="AD128" i="20"/>
  <c r="AV128" i="20"/>
  <c r="AZ128" i="20"/>
  <c r="BD128" i="20"/>
  <c r="BH128" i="20"/>
  <c r="AW128" i="20"/>
  <c r="BA128" i="20"/>
  <c r="BE128" i="20"/>
  <c r="AX128" i="20"/>
  <c r="BB128" i="20"/>
  <c r="BF128" i="20"/>
  <c r="AC128" i="20"/>
  <c r="AY128" i="20"/>
  <c r="BG128" i="20"/>
  <c r="I95" i="23"/>
  <c r="AD117" i="20"/>
  <c r="AV117" i="20"/>
  <c r="AZ117" i="20"/>
  <c r="BD117" i="20"/>
  <c r="BH117" i="20"/>
  <c r="AW117" i="20"/>
  <c r="BA117" i="20"/>
  <c r="BE117" i="20"/>
  <c r="AX117" i="20"/>
  <c r="BB117" i="20"/>
  <c r="BF117" i="20"/>
  <c r="AC117" i="20"/>
  <c r="AY117" i="20"/>
  <c r="BG117" i="20"/>
  <c r="AD19" i="20"/>
  <c r="AV19" i="20"/>
  <c r="AZ19" i="20"/>
  <c r="BD19" i="20"/>
  <c r="BH19" i="20"/>
  <c r="I16" i="23"/>
  <c r="AX19" i="20"/>
  <c r="BA19" i="20"/>
  <c r="BG19" i="20"/>
  <c r="AC19" i="20"/>
  <c r="AW19" i="20"/>
  <c r="BE19" i="20"/>
  <c r="BB19" i="20"/>
  <c r="BF19" i="20"/>
  <c r="AY19" i="20"/>
  <c r="AE113" i="20"/>
  <c r="BO113" i="20" s="1"/>
  <c r="AU113" i="20"/>
  <c r="AD21" i="20"/>
  <c r="AC21" i="20"/>
  <c r="BG21" i="20"/>
  <c r="BI21" i="20" s="1"/>
  <c r="I33" i="23"/>
  <c r="AD36" i="20"/>
  <c r="AV36" i="20"/>
  <c r="AZ36" i="20"/>
  <c r="BD36" i="20"/>
  <c r="BH36" i="20"/>
  <c r="BA36" i="20"/>
  <c r="BF36" i="20"/>
  <c r="AX36" i="20"/>
  <c r="BB36" i="20"/>
  <c r="AW36" i="20"/>
  <c r="BG36" i="20"/>
  <c r="BE36" i="20"/>
  <c r="AC36" i="20"/>
  <c r="AY36" i="20"/>
  <c r="M67" i="54"/>
  <c r="X67" i="54"/>
  <c r="Y67" i="54" s="1"/>
  <c r="AH66" i="20" s="1"/>
  <c r="AH67" i="20" s="1"/>
  <c r="I61" i="23"/>
  <c r="AD68" i="20"/>
  <c r="AV68" i="20"/>
  <c r="AZ68" i="20"/>
  <c r="BD68" i="20"/>
  <c r="BH68" i="20"/>
  <c r="AX68" i="20"/>
  <c r="BB68" i="20"/>
  <c r="BF68" i="20"/>
  <c r="AW68" i="20"/>
  <c r="BE68" i="20"/>
  <c r="AY68" i="20"/>
  <c r="BG68" i="20"/>
  <c r="BA68" i="20"/>
  <c r="AC68" i="20"/>
  <c r="R160" i="54"/>
  <c r="I12" i="23"/>
  <c r="AW13" i="20"/>
  <c r="BA13" i="20"/>
  <c r="BA14" i="20" s="1"/>
  <c r="BE13" i="20"/>
  <c r="BE14" i="20" s="1"/>
  <c r="AC13" i="20"/>
  <c r="AY13" i="20"/>
  <c r="AY14" i="20" s="1"/>
  <c r="BD13" i="20"/>
  <c r="AV13" i="20"/>
  <c r="AV14" i="20" s="1"/>
  <c r="AZ13" i="20"/>
  <c r="AZ14" i="20" s="1"/>
  <c r="BG13" i="20"/>
  <c r="BG14" i="20" s="1"/>
  <c r="BH13" i="20"/>
  <c r="BH14" i="20" s="1"/>
  <c r="AD13" i="20"/>
  <c r="BB13" i="20"/>
  <c r="BB14" i="20" s="1"/>
  <c r="BF13" i="20"/>
  <c r="BF14" i="20" s="1"/>
  <c r="AX13" i="20"/>
  <c r="AX14" i="20" s="1"/>
  <c r="X78" i="54"/>
  <c r="Y78" i="54" s="1"/>
  <c r="AH77" i="20" s="1"/>
  <c r="AO77" i="20" s="1"/>
  <c r="I119" i="23"/>
  <c r="S119" i="23" s="1"/>
  <c r="AC119" i="23" s="1"/>
  <c r="AC148" i="20"/>
  <c r="AY148" i="20"/>
  <c r="AY149" i="20" s="1"/>
  <c r="BG148" i="20"/>
  <c r="BG149" i="20" s="1"/>
  <c r="AW148" i="20"/>
  <c r="BA148" i="20"/>
  <c r="BA149" i="20" s="1"/>
  <c r="BE148" i="20"/>
  <c r="BE149" i="20" s="1"/>
  <c r="AV148" i="20"/>
  <c r="AV149" i="20" s="1"/>
  <c r="BD148" i="20"/>
  <c r="AX148" i="20"/>
  <c r="AX149" i="20" s="1"/>
  <c r="BF148" i="20"/>
  <c r="BF149" i="20" s="1"/>
  <c r="AD148" i="20"/>
  <c r="AZ148" i="20"/>
  <c r="AZ149" i="20" s="1"/>
  <c r="BH148" i="20"/>
  <c r="BH149" i="20" s="1"/>
  <c r="BB148" i="20"/>
  <c r="BB149" i="20" s="1"/>
  <c r="AM117" i="23"/>
  <c r="AH117" i="23"/>
  <c r="AI117" i="23" s="1"/>
  <c r="I27" i="23"/>
  <c r="AD30" i="20"/>
  <c r="AV30" i="20"/>
  <c r="AZ30" i="20"/>
  <c r="BD30" i="20"/>
  <c r="BH30" i="20"/>
  <c r="BA30" i="20"/>
  <c r="BF30" i="20"/>
  <c r="AX30" i="20"/>
  <c r="BB30" i="20"/>
  <c r="AW30" i="20"/>
  <c r="BG30" i="20"/>
  <c r="AC30" i="20"/>
  <c r="AY30" i="20"/>
  <c r="BE30" i="20"/>
  <c r="I17" i="23"/>
  <c r="AD20" i="20"/>
  <c r="AX20" i="20"/>
  <c r="BB20" i="20"/>
  <c r="BF20" i="20"/>
  <c r="AW20" i="20"/>
  <c r="BH20" i="20"/>
  <c r="AZ20" i="20"/>
  <c r="BE20" i="20"/>
  <c r="AC20" i="20"/>
  <c r="AV20" i="20"/>
  <c r="BG20" i="20"/>
  <c r="BA20" i="20"/>
  <c r="BD20" i="20"/>
  <c r="AY20" i="20"/>
  <c r="I121" i="23"/>
  <c r="AX151" i="20"/>
  <c r="BB151" i="20"/>
  <c r="BF151" i="20"/>
  <c r="BF152" i="20" s="1"/>
  <c r="AD151" i="20"/>
  <c r="AV151" i="20"/>
  <c r="AZ151" i="20"/>
  <c r="BD151" i="20"/>
  <c r="BH151" i="20"/>
  <c r="BA151" i="20"/>
  <c r="AW151" i="20"/>
  <c r="BE151" i="20"/>
  <c r="AC151" i="20"/>
  <c r="AY151" i="20"/>
  <c r="BG151" i="20"/>
  <c r="BL101" i="20"/>
  <c r="BK101" i="20"/>
  <c r="I30" i="23"/>
  <c r="AD33" i="20"/>
  <c r="AV33" i="20"/>
  <c r="AZ33" i="20"/>
  <c r="BD33" i="20"/>
  <c r="BH33" i="20"/>
  <c r="AX33" i="20"/>
  <c r="BA33" i="20"/>
  <c r="BF33" i="20"/>
  <c r="BB33" i="20"/>
  <c r="AW33" i="20"/>
  <c r="BG33" i="20"/>
  <c r="AC33" i="20"/>
  <c r="AY33" i="20"/>
  <c r="BE33" i="20"/>
  <c r="AT60" i="20"/>
  <c r="BL123" i="20"/>
  <c r="BN123" i="20" s="1"/>
  <c r="BK123" i="20"/>
  <c r="X32" i="23"/>
  <c r="Y32" i="23" s="1"/>
  <c r="X104" i="23"/>
  <c r="Y104" i="23" s="1"/>
  <c r="N104" i="23"/>
  <c r="O104" i="23" s="1"/>
  <c r="AG76" i="20"/>
  <c r="M105" i="54"/>
  <c r="X105" i="54"/>
  <c r="Y105" i="54" s="1"/>
  <c r="AH104" i="20" s="1"/>
  <c r="I105" i="23"/>
  <c r="AD130" i="20"/>
  <c r="AV130" i="20"/>
  <c r="AZ130" i="20"/>
  <c r="BD130" i="20"/>
  <c r="BH130" i="20"/>
  <c r="AW130" i="20"/>
  <c r="BA130" i="20"/>
  <c r="BE130" i="20"/>
  <c r="AX130" i="20"/>
  <c r="BB130" i="20"/>
  <c r="BF130" i="20"/>
  <c r="AC130" i="20"/>
  <c r="AY130" i="20"/>
  <c r="BG130" i="20"/>
  <c r="I60" i="23"/>
  <c r="S60" i="23" s="1"/>
  <c r="AC60" i="23" s="1"/>
  <c r="AW66" i="20"/>
  <c r="BA66" i="20"/>
  <c r="BA67" i="20" s="1"/>
  <c r="BE66" i="20"/>
  <c r="BE67" i="20" s="1"/>
  <c r="AC66" i="20"/>
  <c r="AY66" i="20"/>
  <c r="AY67" i="20" s="1"/>
  <c r="BG66" i="20"/>
  <c r="BG67" i="20" s="1"/>
  <c r="AX66" i="20"/>
  <c r="AX67" i="20" s="1"/>
  <c r="BF66" i="20"/>
  <c r="BF67" i="20" s="1"/>
  <c r="AD66" i="20"/>
  <c r="AZ66" i="20"/>
  <c r="AZ67" i="20" s="1"/>
  <c r="BH66" i="20"/>
  <c r="BH67" i="20" s="1"/>
  <c r="BB66" i="20"/>
  <c r="BB67" i="20" s="1"/>
  <c r="AV66" i="20"/>
  <c r="AV67" i="20" s="1"/>
  <c r="BD66" i="20"/>
  <c r="I56" i="23"/>
  <c r="AC59" i="20"/>
  <c r="AY59" i="20"/>
  <c r="BG59" i="20"/>
  <c r="AW59" i="20"/>
  <c r="BA59" i="20"/>
  <c r="BE59" i="20"/>
  <c r="AX59" i="20"/>
  <c r="BF59" i="20"/>
  <c r="AZ59" i="20"/>
  <c r="BH59" i="20"/>
  <c r="BB59" i="20"/>
  <c r="AD59" i="20"/>
  <c r="AV59" i="20"/>
  <c r="BD59" i="20"/>
  <c r="I77" i="23"/>
  <c r="AC93" i="20"/>
  <c r="AY93" i="20"/>
  <c r="AY95" i="20" s="1"/>
  <c r="BG93" i="20"/>
  <c r="AW93" i="20"/>
  <c r="BA93" i="20"/>
  <c r="BE93" i="20"/>
  <c r="AV93" i="20"/>
  <c r="BD93" i="20"/>
  <c r="AX93" i="20"/>
  <c r="BF93" i="20"/>
  <c r="AD93" i="20"/>
  <c r="AZ93" i="20"/>
  <c r="BH93" i="20"/>
  <c r="BB93" i="20"/>
  <c r="I39" i="23"/>
  <c r="AD42" i="20"/>
  <c r="AV42" i="20"/>
  <c r="AZ42" i="20"/>
  <c r="BD42" i="20"/>
  <c r="BH42" i="20"/>
  <c r="BA42" i="20"/>
  <c r="BF42" i="20"/>
  <c r="AX42" i="20"/>
  <c r="BB42" i="20"/>
  <c r="AW42" i="20"/>
  <c r="BG42" i="20"/>
  <c r="AC42" i="20"/>
  <c r="AY42" i="20"/>
  <c r="BE42" i="20"/>
  <c r="I118" i="23"/>
  <c r="AD146" i="20"/>
  <c r="AV146" i="20"/>
  <c r="AZ146" i="20"/>
  <c r="BD146" i="20"/>
  <c r="BH146" i="20"/>
  <c r="AX146" i="20"/>
  <c r="BB146" i="20"/>
  <c r="BF146" i="20"/>
  <c r="AC146" i="20"/>
  <c r="AY146" i="20"/>
  <c r="BG146" i="20"/>
  <c r="BA146" i="20"/>
  <c r="AW146" i="20"/>
  <c r="BE146" i="20"/>
  <c r="AU96" i="20"/>
  <c r="AE96" i="20"/>
  <c r="BO96" i="20" s="1"/>
  <c r="I68" i="23"/>
  <c r="AC77" i="20"/>
  <c r="AY77" i="20"/>
  <c r="AY78" i="20" s="1"/>
  <c r="BG77" i="20"/>
  <c r="BG78" i="20" s="1"/>
  <c r="AW77" i="20"/>
  <c r="BA77" i="20"/>
  <c r="BA78" i="20" s="1"/>
  <c r="BE77" i="20"/>
  <c r="BE78" i="20" s="1"/>
  <c r="AV77" i="20"/>
  <c r="AV78" i="20" s="1"/>
  <c r="BD77" i="20"/>
  <c r="AX77" i="20"/>
  <c r="AX78" i="20" s="1"/>
  <c r="BF77" i="20"/>
  <c r="BF78" i="20" s="1"/>
  <c r="AD77" i="20"/>
  <c r="AZ77" i="20"/>
  <c r="AZ78" i="20" s="1"/>
  <c r="BH77" i="20"/>
  <c r="BH78" i="20" s="1"/>
  <c r="BB77" i="20"/>
  <c r="BB78" i="20" s="1"/>
  <c r="I38" i="23"/>
  <c r="AD41" i="20"/>
  <c r="AV41" i="20"/>
  <c r="AZ41" i="20"/>
  <c r="BD41" i="20"/>
  <c r="BH41" i="20"/>
  <c r="AX41" i="20"/>
  <c r="BA41" i="20"/>
  <c r="BF41" i="20"/>
  <c r="BB41" i="20"/>
  <c r="AW41" i="20"/>
  <c r="BG41" i="20"/>
  <c r="AC41" i="20"/>
  <c r="AY41" i="20"/>
  <c r="BE41" i="20"/>
  <c r="I34" i="23"/>
  <c r="S34" i="23" s="1"/>
  <c r="AD37" i="20"/>
  <c r="AV37" i="20"/>
  <c r="AZ37" i="20"/>
  <c r="BD37" i="20"/>
  <c r="BH37" i="20"/>
  <c r="AX37" i="20"/>
  <c r="BA37" i="20"/>
  <c r="BF37" i="20"/>
  <c r="BB37" i="20"/>
  <c r="AW37" i="20"/>
  <c r="BG37" i="20"/>
  <c r="AC37" i="20"/>
  <c r="AY37" i="20"/>
  <c r="BE37" i="20"/>
  <c r="I108" i="23"/>
  <c r="AD134" i="20"/>
  <c r="AV134" i="20"/>
  <c r="AV135" i="20" s="1"/>
  <c r="AZ134" i="20"/>
  <c r="BD134" i="20"/>
  <c r="BH134" i="20"/>
  <c r="AW134" i="20"/>
  <c r="BA134" i="20"/>
  <c r="BE134" i="20"/>
  <c r="AX134" i="20"/>
  <c r="BB134" i="20"/>
  <c r="BF134" i="20"/>
  <c r="AC134" i="20"/>
  <c r="AY134" i="20"/>
  <c r="BG134" i="20"/>
  <c r="I99" i="23"/>
  <c r="AD122" i="20"/>
  <c r="AV122" i="20"/>
  <c r="AZ122" i="20"/>
  <c r="BD122" i="20"/>
  <c r="BH122" i="20"/>
  <c r="AW122" i="20"/>
  <c r="BA122" i="20"/>
  <c r="BE122" i="20"/>
  <c r="AX122" i="20"/>
  <c r="BB122" i="20"/>
  <c r="BF122" i="20"/>
  <c r="AC122" i="20"/>
  <c r="AY122" i="20"/>
  <c r="BG122" i="20"/>
  <c r="I36" i="23"/>
  <c r="AD39" i="20"/>
  <c r="AV39" i="20"/>
  <c r="AZ39" i="20"/>
  <c r="BD39" i="20"/>
  <c r="BH39" i="20"/>
  <c r="AX39" i="20"/>
  <c r="BA39" i="20"/>
  <c r="BF39" i="20"/>
  <c r="BB39" i="20"/>
  <c r="AW39" i="20"/>
  <c r="BG39" i="20"/>
  <c r="AC39" i="20"/>
  <c r="AY39" i="20"/>
  <c r="BE39" i="20"/>
  <c r="I114" i="23"/>
  <c r="AD142" i="20"/>
  <c r="AV142" i="20"/>
  <c r="AZ142" i="20"/>
  <c r="BD142" i="20"/>
  <c r="BH142" i="20"/>
  <c r="AX142" i="20"/>
  <c r="BB142" i="20"/>
  <c r="BF142" i="20"/>
  <c r="AC142" i="20"/>
  <c r="AY142" i="20"/>
  <c r="BG142" i="20"/>
  <c r="AW142" i="20"/>
  <c r="BA142" i="20"/>
  <c r="BE142" i="20"/>
  <c r="I70" i="23"/>
  <c r="AW80" i="20"/>
  <c r="BA80" i="20"/>
  <c r="BE80" i="20"/>
  <c r="AC80" i="20"/>
  <c r="AY80" i="20"/>
  <c r="BG80" i="20"/>
  <c r="BB80" i="20"/>
  <c r="AV80" i="20"/>
  <c r="BD80" i="20"/>
  <c r="AX80" i="20"/>
  <c r="BF80" i="20"/>
  <c r="AD80" i="20"/>
  <c r="AZ80" i="20"/>
  <c r="BH80" i="20"/>
  <c r="I29" i="23"/>
  <c r="AD32" i="20"/>
  <c r="AV32" i="20"/>
  <c r="AZ32" i="20"/>
  <c r="BD32" i="20"/>
  <c r="BH32" i="20"/>
  <c r="BA32" i="20"/>
  <c r="BF32" i="20"/>
  <c r="AX32" i="20"/>
  <c r="BB32" i="20"/>
  <c r="AW32" i="20"/>
  <c r="BG32" i="20"/>
  <c r="BE32" i="20"/>
  <c r="AC32" i="20"/>
  <c r="AY32" i="20"/>
  <c r="Y62" i="54"/>
  <c r="AH61" i="20" s="1"/>
  <c r="AO61" i="20" s="1"/>
  <c r="I25" i="23"/>
  <c r="AD28" i="20"/>
  <c r="AV28" i="20"/>
  <c r="AZ28" i="20"/>
  <c r="BD28" i="20"/>
  <c r="BH28" i="20"/>
  <c r="BA28" i="20"/>
  <c r="BF28" i="20"/>
  <c r="AX28" i="20"/>
  <c r="BB28" i="20"/>
  <c r="AW28" i="20"/>
  <c r="BG28" i="20"/>
  <c r="AY28" i="20"/>
  <c r="AC28" i="20"/>
  <c r="BE28" i="20"/>
  <c r="X110" i="54"/>
  <c r="Y110" i="54" s="1"/>
  <c r="AH109" i="20" s="1"/>
  <c r="AO109" i="20" s="1"/>
  <c r="X81" i="54"/>
  <c r="Y81" i="54" s="1"/>
  <c r="AH80" i="20" s="1"/>
  <c r="AO80" i="20" s="1"/>
  <c r="I35" i="23"/>
  <c r="AD38" i="20"/>
  <c r="AV38" i="20"/>
  <c r="AZ38" i="20"/>
  <c r="BD38" i="20"/>
  <c r="BH38" i="20"/>
  <c r="BA38" i="20"/>
  <c r="BF38" i="20"/>
  <c r="AX38" i="20"/>
  <c r="BB38" i="20"/>
  <c r="AW38" i="20"/>
  <c r="BG38" i="20"/>
  <c r="AC38" i="20"/>
  <c r="AY38" i="20"/>
  <c r="BE38" i="20"/>
  <c r="Y146" i="54"/>
  <c r="AH145" i="20" s="1"/>
  <c r="AO145" i="20" s="1"/>
  <c r="I75" i="23"/>
  <c r="AW89" i="20"/>
  <c r="BA89" i="20"/>
  <c r="BA90" i="20" s="1"/>
  <c r="BE89" i="20"/>
  <c r="BE90" i="20" s="1"/>
  <c r="AC89" i="20"/>
  <c r="AY89" i="20"/>
  <c r="AY90" i="20" s="1"/>
  <c r="BG89" i="20"/>
  <c r="BG90" i="20" s="1"/>
  <c r="AX89" i="20"/>
  <c r="AX90" i="20" s="1"/>
  <c r="BF89" i="20"/>
  <c r="BF90" i="20" s="1"/>
  <c r="AD89" i="20"/>
  <c r="AZ89" i="20"/>
  <c r="AZ90" i="20" s="1"/>
  <c r="BH89" i="20"/>
  <c r="BH90" i="20" s="1"/>
  <c r="BB89" i="20"/>
  <c r="BB90" i="20" s="1"/>
  <c r="AV89" i="20"/>
  <c r="AV90" i="20" s="1"/>
  <c r="BD89" i="20"/>
  <c r="I41" i="23"/>
  <c r="AD44" i="20"/>
  <c r="AV44" i="20"/>
  <c r="AZ44" i="20"/>
  <c r="BD44" i="20"/>
  <c r="BH44" i="20"/>
  <c r="BA44" i="20"/>
  <c r="BF44" i="20"/>
  <c r="AX44" i="20"/>
  <c r="BB44" i="20"/>
  <c r="AW44" i="20"/>
  <c r="BG44" i="20"/>
  <c r="BE44" i="20"/>
  <c r="AC44" i="20"/>
  <c r="AY44" i="20"/>
  <c r="I84" i="23"/>
  <c r="AX102" i="20"/>
  <c r="BB102" i="20"/>
  <c r="BF102" i="20"/>
  <c r="AD102" i="20"/>
  <c r="AV102" i="20"/>
  <c r="AZ102" i="20"/>
  <c r="BD102" i="20"/>
  <c r="BH102" i="20"/>
  <c r="AW102" i="20"/>
  <c r="BE102" i="20"/>
  <c r="AC102" i="20"/>
  <c r="AY102" i="20"/>
  <c r="BG102" i="20"/>
  <c r="BA102" i="20"/>
  <c r="I22" i="23"/>
  <c r="AD25" i="20"/>
  <c r="AV25" i="20"/>
  <c r="AZ25" i="20"/>
  <c r="BD25" i="20"/>
  <c r="BH25" i="20"/>
  <c r="AC25" i="20"/>
  <c r="AY25" i="20"/>
  <c r="BE25" i="20"/>
  <c r="AW25" i="20"/>
  <c r="BB25" i="20"/>
  <c r="BG25" i="20"/>
  <c r="AX25" i="20"/>
  <c r="BA25" i="20"/>
  <c r="BF25" i="20"/>
  <c r="AU129" i="20"/>
  <c r="BJ129" i="20" s="1"/>
  <c r="BR129" i="20" s="1"/>
  <c r="I102" i="23"/>
  <c r="AD126" i="20"/>
  <c r="AV126" i="20"/>
  <c r="AZ126" i="20"/>
  <c r="BD126" i="20"/>
  <c r="BH126" i="20"/>
  <c r="AW126" i="20"/>
  <c r="BA126" i="20"/>
  <c r="BE126" i="20"/>
  <c r="AX126" i="20"/>
  <c r="BB126" i="20"/>
  <c r="BF126" i="20"/>
  <c r="BF127" i="20" s="1"/>
  <c r="AC126" i="20"/>
  <c r="AY126" i="20"/>
  <c r="BG126" i="20"/>
  <c r="I98" i="23"/>
  <c r="AD120" i="20"/>
  <c r="AV120" i="20"/>
  <c r="AZ120" i="20"/>
  <c r="BD120" i="20"/>
  <c r="BH120" i="20"/>
  <c r="AW120" i="20"/>
  <c r="BA120" i="20"/>
  <c r="BE120" i="20"/>
  <c r="AX120" i="20"/>
  <c r="BB120" i="20"/>
  <c r="BF120" i="20"/>
  <c r="AC120" i="20"/>
  <c r="AY120" i="20"/>
  <c r="BG120" i="20"/>
  <c r="I94" i="23"/>
  <c r="AV115" i="20"/>
  <c r="AG60" i="20"/>
  <c r="X129" i="54"/>
  <c r="Y129" i="54" s="1"/>
  <c r="AH128" i="20" s="1"/>
  <c r="AH132" i="20" s="1"/>
  <c r="Y137" i="54"/>
  <c r="AH136" i="20" s="1"/>
  <c r="AO136" i="20" s="1"/>
  <c r="AU99" i="20"/>
  <c r="AE99" i="20"/>
  <c r="BO99" i="20" s="1"/>
  <c r="S46" i="23"/>
  <c r="N46" i="23"/>
  <c r="O46" i="23" s="1"/>
  <c r="BL81" i="20"/>
  <c r="BN81" i="20" s="1"/>
  <c r="X114" i="54"/>
  <c r="Y114" i="54" s="1"/>
  <c r="AH113" i="20" s="1"/>
  <c r="AO113" i="20" s="1"/>
  <c r="Y25" i="54"/>
  <c r="AH24" i="20" s="1"/>
  <c r="AO24" i="20" s="1"/>
  <c r="Y19" i="54"/>
  <c r="AH18" i="20" s="1"/>
  <c r="AO18" i="20" s="1"/>
  <c r="AS104" i="23"/>
  <c r="I40" i="23"/>
  <c r="AD43" i="20"/>
  <c r="AV43" i="20"/>
  <c r="AZ43" i="20"/>
  <c r="BD43" i="20"/>
  <c r="BH43" i="20"/>
  <c r="AX43" i="20"/>
  <c r="BA43" i="20"/>
  <c r="BF43" i="20"/>
  <c r="BB43" i="20"/>
  <c r="AW43" i="20"/>
  <c r="BG43" i="20"/>
  <c r="AC43" i="20"/>
  <c r="AY43" i="20"/>
  <c r="BE43" i="20"/>
  <c r="I116" i="23"/>
  <c r="AD144" i="20"/>
  <c r="AV144" i="20"/>
  <c r="AZ144" i="20"/>
  <c r="BD144" i="20"/>
  <c r="BH144" i="20"/>
  <c r="AX144" i="20"/>
  <c r="BB144" i="20"/>
  <c r="BF144" i="20"/>
  <c r="AC144" i="20"/>
  <c r="AY144" i="20"/>
  <c r="BG144" i="20"/>
  <c r="BA144" i="20"/>
  <c r="AW144" i="20"/>
  <c r="BE144" i="20"/>
  <c r="I122" i="23"/>
  <c r="AX153" i="20"/>
  <c r="BB153" i="20"/>
  <c r="BF153" i="20"/>
  <c r="AD153" i="20"/>
  <c r="AV153" i="20"/>
  <c r="AZ153" i="20"/>
  <c r="BD153" i="20"/>
  <c r="BH153" i="20"/>
  <c r="AW153" i="20"/>
  <c r="BE153" i="20"/>
  <c r="BA153" i="20"/>
  <c r="AC153" i="20"/>
  <c r="AY153" i="20"/>
  <c r="BG153" i="20"/>
  <c r="I66" i="23"/>
  <c r="AD74" i="20"/>
  <c r="AV74" i="20"/>
  <c r="AZ74" i="20"/>
  <c r="BD74" i="20"/>
  <c r="BH74" i="20"/>
  <c r="AX74" i="20"/>
  <c r="BB74" i="20"/>
  <c r="BF74" i="20"/>
  <c r="AW74" i="20"/>
  <c r="BE74" i="20"/>
  <c r="AC74" i="20"/>
  <c r="AY74" i="20"/>
  <c r="BG74" i="20"/>
  <c r="BA74" i="20"/>
  <c r="X117" i="23"/>
  <c r="Y117" i="23" s="1"/>
  <c r="I64" i="23"/>
  <c r="AD72" i="20"/>
  <c r="AV72" i="20"/>
  <c r="AZ72" i="20"/>
  <c r="BD72" i="20"/>
  <c r="BH72" i="20"/>
  <c r="AX72" i="20"/>
  <c r="BB72" i="20"/>
  <c r="BF72" i="20"/>
  <c r="AW72" i="20"/>
  <c r="BE72" i="20"/>
  <c r="AC72" i="20"/>
  <c r="AY72" i="20"/>
  <c r="BG72" i="20"/>
  <c r="BA72" i="20"/>
  <c r="Y113" i="54"/>
  <c r="AH112" i="20" s="1"/>
  <c r="I85" i="23"/>
  <c r="AW104" i="20"/>
  <c r="BA104" i="20"/>
  <c r="BA105" i="20" s="1"/>
  <c r="BE104" i="20"/>
  <c r="BE105" i="20" s="1"/>
  <c r="AC104" i="20"/>
  <c r="AY104" i="20"/>
  <c r="AY105" i="20" s="1"/>
  <c r="BG104" i="20"/>
  <c r="BG105" i="20" s="1"/>
  <c r="BB104" i="20"/>
  <c r="BB105" i="20" s="1"/>
  <c r="AV104" i="20"/>
  <c r="AV105" i="20" s="1"/>
  <c r="BD104" i="20"/>
  <c r="AX104" i="20"/>
  <c r="AX105" i="20" s="1"/>
  <c r="BF104" i="20"/>
  <c r="BF105" i="20" s="1"/>
  <c r="AD104" i="20"/>
  <c r="AZ104" i="20"/>
  <c r="AZ105" i="20" s="1"/>
  <c r="BH104" i="20"/>
  <c r="BH105" i="20" s="1"/>
  <c r="X86" i="54"/>
  <c r="Y86" i="54" s="1"/>
  <c r="AH85" i="20" s="1"/>
  <c r="AH86" i="20" s="1"/>
  <c r="AD40" i="20"/>
  <c r="AV40" i="20"/>
  <c r="AZ40" i="20"/>
  <c r="BD40" i="20"/>
  <c r="BH40" i="20"/>
  <c r="I37" i="23"/>
  <c r="BA40" i="20"/>
  <c r="BF40" i="20"/>
  <c r="AX40" i="20"/>
  <c r="BB40" i="20"/>
  <c r="AW40" i="20"/>
  <c r="BG40" i="20"/>
  <c r="BE40" i="20"/>
  <c r="AC40" i="20"/>
  <c r="AY40" i="20"/>
  <c r="AD131" i="20"/>
  <c r="AC131" i="20"/>
  <c r="Y107" i="54"/>
  <c r="AH106" i="20" s="1"/>
  <c r="AO106" i="20" s="1"/>
  <c r="I62" i="23"/>
  <c r="AD69" i="20"/>
  <c r="AV69" i="20"/>
  <c r="AZ69" i="20"/>
  <c r="BD69" i="20"/>
  <c r="BH69" i="20"/>
  <c r="AX69" i="20"/>
  <c r="BB69" i="20"/>
  <c r="BF69" i="20"/>
  <c r="BA69" i="20"/>
  <c r="AW69" i="20"/>
  <c r="BE69" i="20"/>
  <c r="AC69" i="20"/>
  <c r="AY69" i="20"/>
  <c r="BG69" i="20"/>
  <c r="I63" i="23"/>
  <c r="AD71" i="20"/>
  <c r="AC71" i="20"/>
  <c r="I67" i="23"/>
  <c r="AD75" i="20"/>
  <c r="AV75" i="20"/>
  <c r="AZ75" i="20"/>
  <c r="BD75" i="20"/>
  <c r="BH75" i="20"/>
  <c r="AX75" i="20"/>
  <c r="BB75" i="20"/>
  <c r="BF75" i="20"/>
  <c r="BA75" i="20"/>
  <c r="AW75" i="20"/>
  <c r="BE75" i="20"/>
  <c r="AC75" i="20"/>
  <c r="AY75" i="20"/>
  <c r="BG75" i="20"/>
  <c r="Y142" i="54"/>
  <c r="AH141" i="20" s="1"/>
  <c r="AO141" i="20" s="1"/>
  <c r="N117" i="23"/>
  <c r="O117" i="23" s="1"/>
  <c r="S57" i="23"/>
  <c r="N57" i="23"/>
  <c r="O57" i="23" s="1"/>
  <c r="W160" i="54"/>
  <c r="I26" i="23"/>
  <c r="S26" i="23" s="1"/>
  <c r="AD29" i="20"/>
  <c r="AV29" i="20"/>
  <c r="AZ29" i="20"/>
  <c r="BD29" i="20"/>
  <c r="BH29" i="20"/>
  <c r="AX29" i="20"/>
  <c r="BA29" i="20"/>
  <c r="BF29" i="20"/>
  <c r="BB29" i="20"/>
  <c r="AW29" i="20"/>
  <c r="BG29" i="20"/>
  <c r="AY29" i="20"/>
  <c r="AC29" i="20"/>
  <c r="BE29" i="20"/>
  <c r="I11" i="23"/>
  <c r="AX11" i="20"/>
  <c r="AX12" i="20" s="1"/>
  <c r="BB11" i="20"/>
  <c r="BB12" i="20" s="1"/>
  <c r="BF11" i="20"/>
  <c r="BF12" i="20" s="1"/>
  <c r="AC11" i="20"/>
  <c r="AY11" i="20"/>
  <c r="AY12" i="20" s="1"/>
  <c r="BD11" i="20"/>
  <c r="AV11" i="20"/>
  <c r="AV12" i="20" s="1"/>
  <c r="AZ11" i="20"/>
  <c r="AZ12" i="20" s="1"/>
  <c r="BG11" i="20"/>
  <c r="BG12" i="20" s="1"/>
  <c r="BA11" i="20"/>
  <c r="BA12" i="20" s="1"/>
  <c r="AD11" i="20"/>
  <c r="BH11" i="20"/>
  <c r="BH12" i="20" s="1"/>
  <c r="BE11" i="20"/>
  <c r="BE12" i="20" s="1"/>
  <c r="AW11" i="20"/>
  <c r="I113" i="23"/>
  <c r="AD141" i="20"/>
  <c r="AV141" i="20"/>
  <c r="AZ141" i="20"/>
  <c r="BD141" i="20"/>
  <c r="BH141" i="20"/>
  <c r="AX141" i="20"/>
  <c r="BB141" i="20"/>
  <c r="BF141" i="20"/>
  <c r="AC141" i="20"/>
  <c r="AY141" i="20"/>
  <c r="BG141" i="20"/>
  <c r="BA141" i="20"/>
  <c r="BE141" i="20"/>
  <c r="AW141" i="20"/>
  <c r="I109" i="23"/>
  <c r="AD136" i="20"/>
  <c r="AV136" i="20"/>
  <c r="AZ136" i="20"/>
  <c r="BD136" i="20"/>
  <c r="BH136" i="20"/>
  <c r="AW136" i="20"/>
  <c r="BA136" i="20"/>
  <c r="BE136" i="20"/>
  <c r="AX136" i="20"/>
  <c r="BB136" i="20"/>
  <c r="BF136" i="20"/>
  <c r="AC136" i="20"/>
  <c r="AY136" i="20"/>
  <c r="BG136" i="20"/>
  <c r="AU118" i="20"/>
  <c r="AC96" i="23"/>
  <c r="X96" i="23"/>
  <c r="Y96" i="23" s="1"/>
  <c r="BK18" i="20"/>
  <c r="BL18" i="20"/>
  <c r="BN18" i="20" s="1"/>
  <c r="X41" i="54"/>
  <c r="Y41" i="54" s="1"/>
  <c r="AH40" i="20" s="1"/>
  <c r="AO40" i="20" s="1"/>
  <c r="Y26" i="54"/>
  <c r="AH25" i="20" s="1"/>
  <c r="AO25" i="20" s="1"/>
  <c r="Y35" i="54"/>
  <c r="AH34" i="20" s="1"/>
  <c r="AO34" i="20" s="1"/>
  <c r="X63" i="54"/>
  <c r="Y63" i="54" s="1"/>
  <c r="AH62" i="20" s="1"/>
  <c r="AO62" i="20" s="1"/>
  <c r="Y108" i="54"/>
  <c r="AH107" i="20" s="1"/>
  <c r="AO107" i="20" s="1"/>
  <c r="AD27" i="20"/>
  <c r="AC27" i="20"/>
  <c r="N92" i="23"/>
  <c r="O92" i="23" s="1"/>
  <c r="BL97" i="20"/>
  <c r="BN97" i="20" s="1"/>
  <c r="BK97" i="20"/>
  <c r="X140" i="54"/>
  <c r="Y140" i="54" s="1"/>
  <c r="AH139" i="20" s="1"/>
  <c r="AO139" i="20" s="1"/>
  <c r="W23" i="23"/>
  <c r="AS42" i="23"/>
  <c r="W61" i="23"/>
  <c r="AQ39" i="23"/>
  <c r="AG26" i="23"/>
  <c r="AH19" i="23"/>
  <c r="AI19" i="23" s="1"/>
  <c r="AH42" i="23"/>
  <c r="AI42" i="23" s="1"/>
  <c r="AR19" i="23"/>
  <c r="AS19" i="23" s="1"/>
  <c r="O42" i="23"/>
  <c r="AQ73" i="23"/>
  <c r="AG36" i="23"/>
  <c r="M26" i="23"/>
  <c r="AV68" i="23"/>
  <c r="BA68" i="23" s="1"/>
  <c r="AQ68" i="23"/>
  <c r="AV72" i="23"/>
  <c r="BA72" i="23" s="1"/>
  <c r="AQ72" i="23"/>
  <c r="AV74" i="23"/>
  <c r="BA74" i="23" s="1"/>
  <c r="AQ74" i="23"/>
  <c r="AV118" i="23"/>
  <c r="BA118" i="23" s="1"/>
  <c r="AQ118" i="23"/>
  <c r="BC42" i="23"/>
  <c r="AV97" i="23"/>
  <c r="BA97" i="23" s="1"/>
  <c r="AQ97" i="23"/>
  <c r="AV111" i="23"/>
  <c r="BA111" i="23" s="1"/>
  <c r="AQ111" i="23"/>
  <c r="AQ62" i="23"/>
  <c r="AV62" i="23"/>
  <c r="BA62" i="23" s="1"/>
  <c r="AQ38" i="23"/>
  <c r="AQ83" i="23"/>
  <c r="AV83" i="23"/>
  <c r="BA83" i="23" s="1"/>
  <c r="AV66" i="23"/>
  <c r="BA66" i="23" s="1"/>
  <c r="AQ66" i="23"/>
  <c r="AG23" i="23"/>
  <c r="AG12" i="23"/>
  <c r="AQ59" i="23"/>
  <c r="AV59" i="23"/>
  <c r="BA59" i="23" s="1"/>
  <c r="AQ101" i="23"/>
  <c r="AV101" i="23"/>
  <c r="BA101" i="23" s="1"/>
  <c r="AV123" i="23"/>
  <c r="BA123" i="23" s="1"/>
  <c r="AQ123" i="23"/>
  <c r="AQ107" i="23"/>
  <c r="AV107" i="23"/>
  <c r="BA107" i="23" s="1"/>
  <c r="BA32" i="23"/>
  <c r="N59" i="23"/>
  <c r="O59" i="23" s="1"/>
  <c r="AQ77" i="23"/>
  <c r="AV77" i="23"/>
  <c r="BA77" i="23" s="1"/>
  <c r="M60" i="23"/>
  <c r="W52" i="23"/>
  <c r="Y52" i="23" s="1"/>
  <c r="W12" i="23"/>
  <c r="AQ113" i="23"/>
  <c r="AV113" i="23"/>
  <c r="BA113" i="23" s="1"/>
  <c r="AQ24" i="23"/>
  <c r="AV24" i="23"/>
  <c r="BA24" i="23" s="1"/>
  <c r="AQ50" i="23"/>
  <c r="AV50" i="23"/>
  <c r="BA50" i="23" s="1"/>
  <c r="AG64" i="23"/>
  <c r="AR52" i="23"/>
  <c r="AS52" i="23" s="1"/>
  <c r="AW52" i="23"/>
  <c r="BB52" i="23" s="1"/>
  <c r="BC52" i="23" s="1"/>
  <c r="AQ26" i="23"/>
  <c r="AV26" i="23"/>
  <c r="BA26" i="23" s="1"/>
  <c r="AQ89" i="23"/>
  <c r="AV89" i="23"/>
  <c r="BA89" i="23" s="1"/>
  <c r="AQ122" i="23"/>
  <c r="AV122" i="23"/>
  <c r="BA122" i="23" s="1"/>
  <c r="AQ53" i="23"/>
  <c r="AV53" i="23"/>
  <c r="BA53" i="23" s="1"/>
  <c r="AQ95" i="23"/>
  <c r="AV95" i="23"/>
  <c r="BA95" i="23" s="1"/>
  <c r="AQ36" i="23"/>
  <c r="AV36" i="23"/>
  <c r="BA36" i="23" s="1"/>
  <c r="AQ11" i="23"/>
  <c r="AV11" i="23"/>
  <c r="BA11" i="23" s="1"/>
  <c r="AU87" i="20" l="1"/>
  <c r="AU88" i="20" s="1"/>
  <c r="S71" i="23"/>
  <c r="X71" i="23" s="1"/>
  <c r="Y71" i="23" s="1"/>
  <c r="AC59" i="23"/>
  <c r="X59" i="23"/>
  <c r="Y59" i="23" s="1"/>
  <c r="BC64" i="20"/>
  <c r="BC65" i="20" s="1"/>
  <c r="BC74" i="23"/>
  <c r="BH152" i="20"/>
  <c r="AH74" i="23"/>
  <c r="AI74" i="23" s="1"/>
  <c r="AR74" i="23"/>
  <c r="AS74" i="23" s="1"/>
  <c r="AZ124" i="20"/>
  <c r="AE24" i="20"/>
  <c r="BO24" i="20" s="1"/>
  <c r="BI73" i="20"/>
  <c r="X74" i="23"/>
  <c r="Y74" i="23" s="1"/>
  <c r="BB115" i="20"/>
  <c r="AR32" i="23"/>
  <c r="AS32" i="23" s="1"/>
  <c r="BA115" i="20"/>
  <c r="BL62" i="20"/>
  <c r="BN62" i="20" s="1"/>
  <c r="X92" i="23"/>
  <c r="Y92" i="23" s="1"/>
  <c r="N74" i="23"/>
  <c r="O74" i="23" s="1"/>
  <c r="N83" i="23"/>
  <c r="O83" i="23" s="1"/>
  <c r="BF155" i="20"/>
  <c r="BK94" i="20"/>
  <c r="BM94" i="20" s="1"/>
  <c r="BQ94" i="20" s="1"/>
  <c r="AE97" i="20"/>
  <c r="BO97" i="20" s="1"/>
  <c r="BF124" i="20"/>
  <c r="AV155" i="20"/>
  <c r="BA124" i="20"/>
  <c r="BK79" i="20"/>
  <c r="BM79" i="20" s="1"/>
  <c r="AC115" i="20"/>
  <c r="AE115" i="20" s="1"/>
  <c r="BO115" i="20" s="1"/>
  <c r="AW115" i="20"/>
  <c r="AZ152" i="20"/>
  <c r="AY155" i="20"/>
  <c r="AX155" i="20"/>
  <c r="N15" i="23"/>
  <c r="O15" i="23" s="1"/>
  <c r="AC114" i="20"/>
  <c r="AE123" i="20"/>
  <c r="BO123" i="20" s="1"/>
  <c r="BK113" i="20"/>
  <c r="BM113" i="20" s="1"/>
  <c r="BQ113" i="20" s="1"/>
  <c r="BF115" i="20"/>
  <c r="BD115" i="20"/>
  <c r="BB95" i="20"/>
  <c r="AX152" i="20"/>
  <c r="AU81" i="20"/>
  <c r="AU22" i="20"/>
  <c r="BL65" i="20"/>
  <c r="BE137" i="20"/>
  <c r="BE140" i="20" s="1"/>
  <c r="AW47" i="23"/>
  <c r="BB47" i="23" s="1"/>
  <c r="BC47" i="23" s="1"/>
  <c r="AH32" i="23"/>
  <c r="AI32" i="23" s="1"/>
  <c r="AR92" i="23"/>
  <c r="AS92" i="23" s="1"/>
  <c r="AE79" i="20"/>
  <c r="BO79" i="20" s="1"/>
  <c r="AU47" i="20"/>
  <c r="BG115" i="20"/>
  <c r="BE115" i="20"/>
  <c r="AZ115" i="20"/>
  <c r="BH124" i="20"/>
  <c r="AU94" i="20"/>
  <c r="AH13" i="23"/>
  <c r="AI13" i="23" s="1"/>
  <c r="BI94" i="20"/>
  <c r="AE73" i="20"/>
  <c r="BO73" i="20" s="1"/>
  <c r="N100" i="23"/>
  <c r="O100" i="23" s="1"/>
  <c r="AU62" i="20"/>
  <c r="BL56" i="20"/>
  <c r="BN56" i="20" s="1"/>
  <c r="BL125" i="20"/>
  <c r="BN125" i="20" s="1"/>
  <c r="BH63" i="20"/>
  <c r="AU18" i="20"/>
  <c r="AE46" i="20"/>
  <c r="BO46" i="20" s="1"/>
  <c r="AE111" i="20"/>
  <c r="BO111" i="20" s="1"/>
  <c r="N93" i="23"/>
  <c r="O93" i="23" s="1"/>
  <c r="BK150" i="20"/>
  <c r="BM150" i="20" s="1"/>
  <c r="BA114" i="20"/>
  <c r="BA116" i="20" s="1"/>
  <c r="AY115" i="20"/>
  <c r="AX115" i="20"/>
  <c r="BH115" i="20"/>
  <c r="BL87" i="20"/>
  <c r="BL88" i="20" s="1"/>
  <c r="BL53" i="20"/>
  <c r="BN53" i="20" s="1"/>
  <c r="BL47" i="20"/>
  <c r="BN47" i="20" s="1"/>
  <c r="BK96" i="20"/>
  <c r="BM96" i="20" s="1"/>
  <c r="AW23" i="23"/>
  <c r="BB23" i="23" s="1"/>
  <c r="BC23" i="23" s="1"/>
  <c r="AW114" i="20"/>
  <c r="AW116" i="20" s="1"/>
  <c r="AO135" i="20"/>
  <c r="N47" i="23"/>
  <c r="O47" i="23" s="1"/>
  <c r="BF137" i="20"/>
  <c r="BF140" i="20" s="1"/>
  <c r="BI53" i="20"/>
  <c r="X58" i="23"/>
  <c r="Y58" i="23" s="1"/>
  <c r="X53" i="23"/>
  <c r="Y53" i="23" s="1"/>
  <c r="AR15" i="23"/>
  <c r="AS15" i="23" s="1"/>
  <c r="AX103" i="20"/>
  <c r="X15" i="23"/>
  <c r="Y15" i="23" s="1"/>
  <c r="BG124" i="20"/>
  <c r="AV124" i="20"/>
  <c r="AH92" i="23"/>
  <c r="AI92" i="23" s="1"/>
  <c r="BL50" i="20"/>
  <c r="BN50" i="20" s="1"/>
  <c r="AH15" i="23"/>
  <c r="AI15" i="23" s="1"/>
  <c r="AH47" i="23"/>
  <c r="AI47" i="23" s="1"/>
  <c r="X47" i="23"/>
  <c r="Y47" i="23" s="1"/>
  <c r="BI24" i="20"/>
  <c r="BC57" i="20"/>
  <c r="AO15" i="20"/>
  <c r="AO16" i="20" s="1"/>
  <c r="N32" i="23"/>
  <c r="O32" i="23" s="1"/>
  <c r="AC137" i="20"/>
  <c r="AE137" i="20" s="1"/>
  <c r="BO137" i="20" s="1"/>
  <c r="BI123" i="20"/>
  <c r="BC106" i="20"/>
  <c r="BC56" i="20"/>
  <c r="AY63" i="20"/>
  <c r="AE56" i="20"/>
  <c r="BO56" i="20" s="1"/>
  <c r="BH103" i="20"/>
  <c r="AU61" i="20"/>
  <c r="BK106" i="20"/>
  <c r="BM106" i="20" s="1"/>
  <c r="S78" i="23"/>
  <c r="X78" i="23" s="1"/>
  <c r="Y78" i="23" s="1"/>
  <c r="BA63" i="20"/>
  <c r="AZ63" i="20"/>
  <c r="BC112" i="20"/>
  <c r="BC99" i="20"/>
  <c r="AE48" i="20"/>
  <c r="BO48" i="20" s="1"/>
  <c r="BH95" i="20"/>
  <c r="AX95" i="20"/>
  <c r="AH28" i="23"/>
  <c r="AI28" i="23" s="1"/>
  <c r="AR13" i="23"/>
  <c r="AS13" i="23" s="1"/>
  <c r="AO83" i="20"/>
  <c r="AO84" i="20" s="1"/>
  <c r="BI113" i="20"/>
  <c r="BI22" i="20"/>
  <c r="BC47" i="20"/>
  <c r="BC53" i="20"/>
  <c r="AV63" i="20"/>
  <c r="BC118" i="20"/>
  <c r="AM65" i="23"/>
  <c r="AR65" i="23" s="1"/>
  <c r="AS65" i="23" s="1"/>
  <c r="AX127" i="20"/>
  <c r="AX124" i="20"/>
  <c r="AO95" i="20"/>
  <c r="AO121" i="20"/>
  <c r="BI81" i="20"/>
  <c r="BF63" i="20"/>
  <c r="BI99" i="20"/>
  <c r="BJ99" i="20" s="1"/>
  <c r="BC52" i="20"/>
  <c r="BI56" i="20"/>
  <c r="BJ56" i="20" s="1"/>
  <c r="BU56" i="20" s="1"/>
  <c r="AU57" i="20"/>
  <c r="BK119" i="20"/>
  <c r="BM119" i="20" s="1"/>
  <c r="N50" i="23"/>
  <c r="O50" i="23" s="1"/>
  <c r="AZ127" i="20"/>
  <c r="BE103" i="20"/>
  <c r="BB103" i="20"/>
  <c r="AV82" i="20"/>
  <c r="N13" i="23"/>
  <c r="O13" i="23" s="1"/>
  <c r="X13" i="23"/>
  <c r="Y13" i="23" s="1"/>
  <c r="BG100" i="20"/>
  <c r="BI106" i="20"/>
  <c r="S81" i="23"/>
  <c r="X81" i="23" s="1"/>
  <c r="Y81" i="23" s="1"/>
  <c r="BI52" i="20"/>
  <c r="AR82" i="23"/>
  <c r="AS82" i="23" s="1"/>
  <c r="AE55" i="20"/>
  <c r="BO55" i="20" s="1"/>
  <c r="BQ55" i="20" s="1"/>
  <c r="BZ55" i="20" s="1"/>
  <c r="BL52" i="20"/>
  <c r="BN52" i="20" s="1"/>
  <c r="BL61" i="20"/>
  <c r="AU50" i="20"/>
  <c r="BB124" i="20"/>
  <c r="AH23" i="23"/>
  <c r="AI23" i="23" s="1"/>
  <c r="BH114" i="20"/>
  <c r="AY137" i="20"/>
  <c r="AY140" i="20" s="1"/>
  <c r="BG137" i="20"/>
  <c r="BG140" i="20" s="1"/>
  <c r="N82" i="23"/>
  <c r="O82" i="23" s="1"/>
  <c r="BC123" i="20"/>
  <c r="BC53" i="23"/>
  <c r="N119" i="23"/>
  <c r="O119" i="23" s="1"/>
  <c r="AE52" i="20"/>
  <c r="BO52" i="20" s="1"/>
  <c r="AE51" i="20"/>
  <c r="BO51" i="20" s="1"/>
  <c r="N58" i="23"/>
  <c r="O58" i="23" s="1"/>
  <c r="BK99" i="20"/>
  <c r="BM99" i="20" s="1"/>
  <c r="BQ99" i="20" s="1"/>
  <c r="BG95" i="20"/>
  <c r="AV152" i="20"/>
  <c r="BE114" i="20"/>
  <c r="BE116" i="20" s="1"/>
  <c r="AV114" i="20"/>
  <c r="AV116" i="20" s="1"/>
  <c r="AH82" i="23"/>
  <c r="AI82" i="23" s="1"/>
  <c r="AX114" i="20"/>
  <c r="AX116" i="20" s="1"/>
  <c r="AY114" i="20"/>
  <c r="AX137" i="20"/>
  <c r="AX140" i="20" s="1"/>
  <c r="BB137" i="20"/>
  <c r="BB140" i="20" s="1"/>
  <c r="BK23" i="20"/>
  <c r="BM23" i="20" s="1"/>
  <c r="BQ23" i="20" s="1"/>
  <c r="N111" i="23"/>
  <c r="O111" i="23" s="1"/>
  <c r="N90" i="23"/>
  <c r="O90" i="23" s="1"/>
  <c r="AY124" i="20"/>
  <c r="AH20" i="23"/>
  <c r="AI20" i="23" s="1"/>
  <c r="S49" i="23"/>
  <c r="N49" i="23"/>
  <c r="O49" i="23" s="1"/>
  <c r="BK31" i="20"/>
  <c r="BM31" i="20" s="1"/>
  <c r="N53" i="23"/>
  <c r="O53" i="23" s="1"/>
  <c r="AZ103" i="20"/>
  <c r="BH82" i="20"/>
  <c r="BE124" i="20"/>
  <c r="AE15" i="20"/>
  <c r="BO15" i="20" s="1"/>
  <c r="BO16" i="20" s="1"/>
  <c r="BL24" i="20"/>
  <c r="BN24" i="20" s="1"/>
  <c r="BL22" i="20"/>
  <c r="BN22" i="20" s="1"/>
  <c r="BK118" i="20"/>
  <c r="BM118" i="20" s="1"/>
  <c r="BQ118" i="20" s="1"/>
  <c r="BK145" i="20"/>
  <c r="BM145" i="20" s="1"/>
  <c r="BB114" i="20"/>
  <c r="AY100" i="20"/>
  <c r="X23" i="23"/>
  <c r="Y23" i="23" s="1"/>
  <c r="AZ114" i="20"/>
  <c r="BA137" i="20"/>
  <c r="BA140" i="20" s="1"/>
  <c r="BH137" i="20"/>
  <c r="BH140" i="20" s="1"/>
  <c r="BD137" i="20"/>
  <c r="BD140" i="20" s="1"/>
  <c r="AW137" i="20"/>
  <c r="AW140" i="20" s="1"/>
  <c r="BD100" i="20"/>
  <c r="BC61" i="20"/>
  <c r="BA95" i="20"/>
  <c r="BE107" i="20"/>
  <c r="BF107" i="20"/>
  <c r="BC22" i="20"/>
  <c r="N91" i="23"/>
  <c r="O91" i="23" s="1"/>
  <c r="AE145" i="20"/>
  <c r="BO145" i="20" s="1"/>
  <c r="BL73" i="20"/>
  <c r="BN73" i="20" s="1"/>
  <c r="BL112" i="20"/>
  <c r="BN112" i="20" s="1"/>
  <c r="X54" i="23"/>
  <c r="Y54" i="23" s="1"/>
  <c r="AH53" i="23"/>
  <c r="AI53" i="23" s="1"/>
  <c r="N80" i="23"/>
  <c r="O80" i="23" s="1"/>
  <c r="X20" i="23"/>
  <c r="Y20" i="23" s="1"/>
  <c r="N86" i="23"/>
  <c r="O86" i="23" s="1"/>
  <c r="AY82" i="20"/>
  <c r="BB135" i="20"/>
  <c r="AV95" i="20"/>
  <c r="BL98" i="20"/>
  <c r="BN98" i="20" s="1"/>
  <c r="AR53" i="23"/>
  <c r="AS53" i="23" s="1"/>
  <c r="BC26" i="20"/>
  <c r="BD114" i="20"/>
  <c r="BG114" i="20"/>
  <c r="AV100" i="20"/>
  <c r="AD114" i="20"/>
  <c r="BL114" i="20" s="1"/>
  <c r="BN114" i="20" s="1"/>
  <c r="BF114" i="20"/>
  <c r="N23" i="23"/>
  <c r="O23" i="23" s="1"/>
  <c r="BC50" i="20"/>
  <c r="BE100" i="20"/>
  <c r="AO87" i="20"/>
  <c r="AO88" i="20" s="1"/>
  <c r="BC94" i="20"/>
  <c r="AR50" i="23"/>
  <c r="AS50" i="23" s="1"/>
  <c r="AZ137" i="20"/>
  <c r="AZ140" i="20" s="1"/>
  <c r="AD137" i="20"/>
  <c r="BL137" i="20" s="1"/>
  <c r="BN137" i="20" s="1"/>
  <c r="I110" i="23"/>
  <c r="S110" i="23" s="1"/>
  <c r="AC110" i="23" s="1"/>
  <c r="AM110" i="23" s="1"/>
  <c r="AW110" i="23" s="1"/>
  <c r="BB110" i="23" s="1"/>
  <c r="BC110" i="23" s="1"/>
  <c r="BI61" i="20"/>
  <c r="BC81" i="20"/>
  <c r="BI47" i="20"/>
  <c r="BI62" i="20"/>
  <c r="BI118" i="20"/>
  <c r="BC73" i="20"/>
  <c r="BI18" i="20"/>
  <c r="AY127" i="20"/>
  <c r="BA103" i="20"/>
  <c r="BD63" i="20"/>
  <c r="BE63" i="20"/>
  <c r="AW54" i="23"/>
  <c r="BB54" i="23" s="1"/>
  <c r="BC54" i="23" s="1"/>
  <c r="N48" i="23"/>
  <c r="O48" i="23" s="1"/>
  <c r="AE26" i="20"/>
  <c r="BO26" i="20" s="1"/>
  <c r="BL46" i="20"/>
  <c r="BN46" i="20" s="1"/>
  <c r="BF82" i="20"/>
  <c r="BB82" i="20"/>
  <c r="BE82" i="20"/>
  <c r="AR69" i="23"/>
  <c r="AS69" i="23" s="1"/>
  <c r="BC39" i="20"/>
  <c r="BC41" i="20"/>
  <c r="BK15" i="20"/>
  <c r="BM15" i="20" s="1"/>
  <c r="BA152" i="20"/>
  <c r="AH69" i="23"/>
  <c r="AI69" i="23" s="1"/>
  <c r="N101" i="23"/>
  <c r="O101" i="23" s="1"/>
  <c r="AU106" i="20"/>
  <c r="AR48" i="23"/>
  <c r="AS48" i="23" s="1"/>
  <c r="AH120" i="23"/>
  <c r="AI120" i="23" s="1"/>
  <c r="BC145" i="20"/>
  <c r="S79" i="23"/>
  <c r="AC79" i="23" s="1"/>
  <c r="AM79" i="23" s="1"/>
  <c r="AW79" i="23" s="1"/>
  <c r="BB79" i="23" s="1"/>
  <c r="BC79" i="23" s="1"/>
  <c r="BI87" i="20"/>
  <c r="BI88" i="20" s="1"/>
  <c r="BC113" i="20"/>
  <c r="BC18" i="20"/>
  <c r="AM58" i="23"/>
  <c r="AH58" i="23"/>
  <c r="AI58" i="23" s="1"/>
  <c r="AO89" i="20"/>
  <c r="AO90" i="20" s="1"/>
  <c r="BI15" i="20"/>
  <c r="BI16" i="20" s="1"/>
  <c r="N21" i="23"/>
  <c r="O21" i="23" s="1"/>
  <c r="AC86" i="23"/>
  <c r="AH86" i="23" s="1"/>
  <c r="AI86" i="23" s="1"/>
  <c r="AO13" i="20"/>
  <c r="AO14" i="20" s="1"/>
  <c r="BC62" i="20"/>
  <c r="X69" i="23"/>
  <c r="Y69" i="23" s="1"/>
  <c r="AU53" i="20"/>
  <c r="N69" i="23"/>
  <c r="O69" i="23" s="1"/>
  <c r="BG155" i="20"/>
  <c r="AZ155" i="20"/>
  <c r="BB155" i="20"/>
  <c r="AH48" i="23"/>
  <c r="AI48" i="23" s="1"/>
  <c r="BK111" i="20"/>
  <c r="BM111" i="20" s="1"/>
  <c r="AX82" i="20"/>
  <c r="X97" i="23"/>
  <c r="Y97" i="23" s="1"/>
  <c r="X48" i="23"/>
  <c r="Y48" i="23" s="1"/>
  <c r="AX63" i="20"/>
  <c r="BF100" i="20"/>
  <c r="BI133" i="20"/>
  <c r="BI97" i="20"/>
  <c r="BD107" i="20"/>
  <c r="BC150" i="20"/>
  <c r="BC28" i="20"/>
  <c r="BC146" i="20"/>
  <c r="BI42" i="20"/>
  <c r="BI59" i="20"/>
  <c r="BC125" i="20"/>
  <c r="BC119" i="20"/>
  <c r="BI119" i="20"/>
  <c r="BC101" i="20"/>
  <c r="BA107" i="20"/>
  <c r="BC87" i="20"/>
  <c r="BC88" i="20" s="1"/>
  <c r="X65" i="23"/>
  <c r="Y65" i="23" s="1"/>
  <c r="BC69" i="20"/>
  <c r="N65" i="23"/>
  <c r="O65" i="23" s="1"/>
  <c r="BI102" i="20"/>
  <c r="BF103" i="20"/>
  <c r="BA82" i="20"/>
  <c r="BF95" i="20"/>
  <c r="BE95" i="20"/>
  <c r="BE152" i="20"/>
  <c r="BC34" i="20"/>
  <c r="BC154" i="20"/>
  <c r="BI31" i="20"/>
  <c r="AH50" i="23"/>
  <c r="AI50" i="23" s="1"/>
  <c r="BH107" i="20"/>
  <c r="BI96" i="20"/>
  <c r="BI79" i="20"/>
  <c r="BI35" i="20"/>
  <c r="BC138" i="20"/>
  <c r="BC96" i="20"/>
  <c r="AW120" i="23"/>
  <c r="BB120" i="23" s="1"/>
  <c r="BC120" i="23" s="1"/>
  <c r="AR120" i="23"/>
  <c r="AS120" i="23" s="1"/>
  <c r="BC50" i="23"/>
  <c r="BC144" i="20"/>
  <c r="BI126" i="20"/>
  <c r="AY152" i="20"/>
  <c r="X90" i="23"/>
  <c r="Y90" i="23" s="1"/>
  <c r="BI26" i="20"/>
  <c r="BI57" i="20"/>
  <c r="BI145" i="20"/>
  <c r="AW88" i="20"/>
  <c r="BG107" i="20"/>
  <c r="BB107" i="20"/>
  <c r="AD107" i="20"/>
  <c r="BL107" i="20" s="1"/>
  <c r="BN107" i="20" s="1"/>
  <c r="BI112" i="20"/>
  <c r="BI50" i="20"/>
  <c r="X50" i="23"/>
  <c r="Y50" i="23" s="1"/>
  <c r="AD45" i="20"/>
  <c r="X120" i="23"/>
  <c r="Y120" i="23" s="1"/>
  <c r="BC98" i="20"/>
  <c r="N120" i="23"/>
  <c r="O120" i="23" s="1"/>
  <c r="AO91" i="20"/>
  <c r="AO92" i="20" s="1"/>
  <c r="BI75" i="20"/>
  <c r="BI32" i="20"/>
  <c r="BC134" i="20"/>
  <c r="AW84" i="20"/>
  <c r="BC83" i="20"/>
  <c r="BC84" i="20" s="1"/>
  <c r="BC133" i="20"/>
  <c r="BC35" i="20"/>
  <c r="BI146" i="20"/>
  <c r="BD67" i="20"/>
  <c r="BI66" i="20"/>
  <c r="BI67" i="20" s="1"/>
  <c r="BL138" i="20"/>
  <c r="BN138" i="20" s="1"/>
  <c r="BD152" i="20"/>
  <c r="BI151" i="20"/>
  <c r="BC117" i="20"/>
  <c r="BI143" i="20"/>
  <c r="AE114" i="20"/>
  <c r="BO114" i="20" s="1"/>
  <c r="BI83" i="20"/>
  <c r="BI98" i="20"/>
  <c r="BC91" i="20"/>
  <c r="BC92" i="20" s="1"/>
  <c r="BC23" i="20"/>
  <c r="BI54" i="20"/>
  <c r="AW12" i="20"/>
  <c r="BC11" i="20"/>
  <c r="BC12" i="20" s="1"/>
  <c r="BD12" i="20"/>
  <c r="BI11" i="20"/>
  <c r="BK48" i="20"/>
  <c r="BM48" i="20" s="1"/>
  <c r="BC75" i="20"/>
  <c r="BD105" i="20"/>
  <c r="BI104" i="20"/>
  <c r="BI105" i="20" s="1"/>
  <c r="BC72" i="20"/>
  <c r="AH90" i="23"/>
  <c r="AI90" i="23" s="1"/>
  <c r="N54" i="23"/>
  <c r="O54" i="23" s="1"/>
  <c r="BL26" i="20"/>
  <c r="BN26" i="20" s="1"/>
  <c r="AE35" i="20"/>
  <c r="BO35" i="20" s="1"/>
  <c r="BI28" i="20"/>
  <c r="BC32" i="20"/>
  <c r="AZ82" i="20"/>
  <c r="BD82" i="20"/>
  <c r="BI80" i="20"/>
  <c r="AW82" i="20"/>
  <c r="BC80" i="20"/>
  <c r="BC142" i="20"/>
  <c r="BI142" i="20"/>
  <c r="BL35" i="20"/>
  <c r="BN35" i="20" s="1"/>
  <c r="BI39" i="20"/>
  <c r="BD135" i="20"/>
  <c r="BI134" i="20"/>
  <c r="BI41" i="20"/>
  <c r="BC42" i="20"/>
  <c r="BC59" i="20"/>
  <c r="BC66" i="20"/>
  <c r="BC67" i="20" s="1"/>
  <c r="BI130" i="20"/>
  <c r="BK133" i="20"/>
  <c r="BM133" i="20" s="1"/>
  <c r="BC33" i="20"/>
  <c r="BG152" i="20"/>
  <c r="AW152" i="20"/>
  <c r="BC151" i="20"/>
  <c r="BB152" i="20"/>
  <c r="BD149" i="20"/>
  <c r="BI148" i="20"/>
  <c r="BI149" i="20" s="1"/>
  <c r="AW149" i="20"/>
  <c r="BC148" i="20"/>
  <c r="BC149" i="20" s="1"/>
  <c r="BC68" i="20"/>
  <c r="BC128" i="20"/>
  <c r="BI34" i="20"/>
  <c r="BC17" i="20"/>
  <c r="BI17" i="20"/>
  <c r="BC24" i="20"/>
  <c r="BI125" i="20"/>
  <c r="AU26" i="20"/>
  <c r="AE31" i="20"/>
  <c r="BO31" i="20" s="1"/>
  <c r="AX100" i="20"/>
  <c r="X91" i="23"/>
  <c r="Y91" i="23" s="1"/>
  <c r="AE119" i="20"/>
  <c r="BO119" i="20" s="1"/>
  <c r="BC58" i="20"/>
  <c r="BC51" i="20"/>
  <c r="AU58" i="20"/>
  <c r="AX107" i="20"/>
  <c r="AC107" i="20"/>
  <c r="BI91" i="20"/>
  <c r="AE54" i="20"/>
  <c r="BO54" i="20" s="1"/>
  <c r="BC97" i="20"/>
  <c r="BI55" i="20"/>
  <c r="AO148" i="20"/>
  <c r="BC79" i="20"/>
  <c r="BI43" i="20"/>
  <c r="BC44" i="20"/>
  <c r="BC130" i="20"/>
  <c r="BI33" i="20"/>
  <c r="BD14" i="20"/>
  <c r="BI13" i="20"/>
  <c r="BC19" i="20"/>
  <c r="BI128" i="20"/>
  <c r="AE125" i="20"/>
  <c r="BO125" i="20" s="1"/>
  <c r="AU23" i="20"/>
  <c r="AE101" i="20"/>
  <c r="BO101" i="20" s="1"/>
  <c r="BQ64" i="20"/>
  <c r="BQ65" i="20" s="1"/>
  <c r="BI111" i="20"/>
  <c r="S43" i="23"/>
  <c r="N43" i="23"/>
  <c r="O43" i="23" s="1"/>
  <c r="BI48" i="20"/>
  <c r="AH54" i="23"/>
  <c r="AI54" i="23" s="1"/>
  <c r="BI136" i="20"/>
  <c r="BC141" i="20"/>
  <c r="BC29" i="20"/>
  <c r="BC153" i="20"/>
  <c r="BI144" i="20"/>
  <c r="BI120" i="20"/>
  <c r="BC25" i="20"/>
  <c r="BI38" i="20"/>
  <c r="BG82" i="20"/>
  <c r="AW124" i="20"/>
  <c r="BC122" i="20"/>
  <c r="BC37" i="20"/>
  <c r="AH105" i="20"/>
  <c r="AO104" i="20"/>
  <c r="AO105" i="20" s="1"/>
  <c r="BC30" i="20"/>
  <c r="AW14" i="20"/>
  <c r="BC13" i="20"/>
  <c r="BC14" i="20" s="1"/>
  <c r="BI36" i="20"/>
  <c r="BC139" i="20"/>
  <c r="AW100" i="20"/>
  <c r="BI150" i="20"/>
  <c r="AO66" i="20"/>
  <c r="AO67" i="20" s="1"/>
  <c r="AR91" i="23"/>
  <c r="AS91" i="23" s="1"/>
  <c r="AW91" i="23"/>
  <c r="BB91" i="23" s="1"/>
  <c r="BC91" i="23" s="1"/>
  <c r="BC46" i="20"/>
  <c r="AR44" i="23"/>
  <c r="AS44" i="23" s="1"/>
  <c r="BD44" i="23" s="1"/>
  <c r="AH91" i="23"/>
  <c r="AI91" i="23" s="1"/>
  <c r="X28" i="23"/>
  <c r="Y28" i="23" s="1"/>
  <c r="BI69" i="20"/>
  <c r="AE112" i="20"/>
  <c r="BO112" i="20" s="1"/>
  <c r="BI40" i="20"/>
  <c r="AW105" i="20"/>
  <c r="BC104" i="20"/>
  <c r="BC105" i="20" s="1"/>
  <c r="BC74" i="20"/>
  <c r="BC43" i="20"/>
  <c r="BC126" i="20"/>
  <c r="BI25" i="20"/>
  <c r="BC102" i="20"/>
  <c r="BI44" i="20"/>
  <c r="BD90" i="20"/>
  <c r="BI89" i="20"/>
  <c r="BI90" i="20" s="1"/>
  <c r="BC136" i="20"/>
  <c r="AV140" i="20"/>
  <c r="AU138" i="20"/>
  <c r="BI141" i="20"/>
  <c r="BI29" i="20"/>
  <c r="BC40" i="20"/>
  <c r="BI72" i="20"/>
  <c r="AR90" i="23"/>
  <c r="AS90" i="23" s="1"/>
  <c r="N20" i="23"/>
  <c r="O20" i="23" s="1"/>
  <c r="BI74" i="20"/>
  <c r="BD155" i="20"/>
  <c r="BI153" i="20"/>
  <c r="BC120" i="20"/>
  <c r="BH127" i="20"/>
  <c r="AW90" i="20"/>
  <c r="BC89" i="20"/>
  <c r="BC90" i="20" s="1"/>
  <c r="BC38" i="20"/>
  <c r="AR20" i="23"/>
  <c r="AS20" i="23" s="1"/>
  <c r="N28" i="23"/>
  <c r="O28" i="23" s="1"/>
  <c r="BD124" i="20"/>
  <c r="BI122" i="20"/>
  <c r="BK88" i="20"/>
  <c r="BI37" i="20"/>
  <c r="BI77" i="20"/>
  <c r="BI78" i="20" s="1"/>
  <c r="AW78" i="20"/>
  <c r="BC77" i="20"/>
  <c r="BC78" i="20" s="1"/>
  <c r="AZ95" i="20"/>
  <c r="BI93" i="20"/>
  <c r="AW95" i="20"/>
  <c r="BC93" i="20"/>
  <c r="BI20" i="20"/>
  <c r="BC20" i="20"/>
  <c r="BI30" i="20"/>
  <c r="BI68" i="20"/>
  <c r="BC36" i="20"/>
  <c r="BI19" i="20"/>
  <c r="BI117" i="20"/>
  <c r="BI139" i="20"/>
  <c r="BC143" i="20"/>
  <c r="AG12" i="20"/>
  <c r="AG156" i="20" s="1"/>
  <c r="BD86" i="20"/>
  <c r="BI85" i="20"/>
  <c r="BI86" i="20" s="1"/>
  <c r="AW86" i="20"/>
  <c r="BC85" i="20"/>
  <c r="BC86" i="20" s="1"/>
  <c r="BI154" i="20"/>
  <c r="AR28" i="23"/>
  <c r="AS28" i="23" s="1"/>
  <c r="AR55" i="23"/>
  <c r="AS55" i="23" s="1"/>
  <c r="AU98" i="20"/>
  <c r="AU100" i="20" s="1"/>
  <c r="AU150" i="20"/>
  <c r="BC31" i="20"/>
  <c r="BB100" i="20"/>
  <c r="AZ100" i="20"/>
  <c r="AE133" i="20"/>
  <c r="BO133" i="20" s="1"/>
  <c r="BI138" i="20"/>
  <c r="AY103" i="20"/>
  <c r="BI23" i="20"/>
  <c r="BI51" i="20"/>
  <c r="BI101" i="20"/>
  <c r="BI58" i="20"/>
  <c r="BC54" i="20"/>
  <c r="AW16" i="20"/>
  <c r="BC15" i="20"/>
  <c r="BC16" i="20" s="1"/>
  <c r="BC111" i="20"/>
  <c r="AV107" i="20"/>
  <c r="AZ107" i="20"/>
  <c r="AW107" i="20"/>
  <c r="AY107" i="20"/>
  <c r="AO128" i="20"/>
  <c r="AO132" i="20" s="1"/>
  <c r="AO85" i="20"/>
  <c r="AO86" i="20" s="1"/>
  <c r="AO112" i="20"/>
  <c r="AO116" i="20" s="1"/>
  <c r="BC55" i="20"/>
  <c r="BI46" i="20"/>
  <c r="BC48" i="20"/>
  <c r="AW155" i="20"/>
  <c r="BA127" i="20"/>
  <c r="AU125" i="20"/>
  <c r="BG103" i="20"/>
  <c r="AW103" i="20"/>
  <c r="AV103" i="20"/>
  <c r="BA100" i="20"/>
  <c r="BE60" i="20"/>
  <c r="BK51" i="20"/>
  <c r="AE58" i="20"/>
  <c r="BO58" i="20" s="1"/>
  <c r="BE108" i="20"/>
  <c r="BB108" i="20"/>
  <c r="AX108" i="20"/>
  <c r="I88" i="23"/>
  <c r="AC108" i="20"/>
  <c r="AD108" i="20"/>
  <c r="BF108" i="20"/>
  <c r="BA108" i="20"/>
  <c r="BG108" i="20"/>
  <c r="BD108" i="20"/>
  <c r="BH108" i="20"/>
  <c r="AW108" i="20"/>
  <c r="AY108" i="20"/>
  <c r="AV108" i="20"/>
  <c r="AZ108" i="20"/>
  <c r="BG121" i="20"/>
  <c r="AV121" i="20"/>
  <c r="BL54" i="20"/>
  <c r="BN54" i="20" s="1"/>
  <c r="BA76" i="20"/>
  <c r="AV76" i="20"/>
  <c r="BK63" i="20"/>
  <c r="AT156" i="20"/>
  <c r="AR97" i="23"/>
  <c r="AS97" i="23" s="1"/>
  <c r="BE127" i="20"/>
  <c r="BH100" i="20"/>
  <c r="AO124" i="20"/>
  <c r="AY135" i="20"/>
  <c r="BF135" i="20"/>
  <c r="BK91" i="20"/>
  <c r="BL91" i="20"/>
  <c r="S76" i="23"/>
  <c r="N76" i="23"/>
  <c r="O76" i="23" s="1"/>
  <c r="BA60" i="20"/>
  <c r="BB121" i="20"/>
  <c r="AV60" i="20"/>
  <c r="BG127" i="20"/>
  <c r="AH55" i="23"/>
  <c r="AI55" i="23" s="1"/>
  <c r="BK58" i="20"/>
  <c r="N97" i="23"/>
  <c r="O97" i="23" s="1"/>
  <c r="AX76" i="20"/>
  <c r="BH155" i="20"/>
  <c r="AH97" i="23"/>
  <c r="AI97" i="23" s="1"/>
  <c r="BA147" i="20"/>
  <c r="BF147" i="20"/>
  <c r="BD147" i="20"/>
  <c r="BE70" i="20"/>
  <c r="BE121" i="20"/>
  <c r="AW60" i="20"/>
  <c r="BD60" i="20"/>
  <c r="X55" i="23"/>
  <c r="Y55" i="23" s="1"/>
  <c r="AW127" i="20"/>
  <c r="AW109" i="20"/>
  <c r="AY109" i="20"/>
  <c r="AV109" i="20"/>
  <c r="AZ109" i="20"/>
  <c r="BA109" i="20"/>
  <c r="BG109" i="20"/>
  <c r="BD109" i="20"/>
  <c r="BH109" i="20"/>
  <c r="I89" i="23"/>
  <c r="AC109" i="20"/>
  <c r="AD109" i="20"/>
  <c r="BF109" i="20"/>
  <c r="BE109" i="20"/>
  <c r="BB109" i="20"/>
  <c r="AX109" i="20"/>
  <c r="AU91" i="20"/>
  <c r="AU92" i="20" s="1"/>
  <c r="AE91" i="20"/>
  <c r="BO91" i="20" s="1"/>
  <c r="BO92" i="20" s="1"/>
  <c r="S45" i="23"/>
  <c r="N45" i="23"/>
  <c r="O45" i="23" s="1"/>
  <c r="BC97" i="23"/>
  <c r="BH60" i="20"/>
  <c r="BD92" i="20"/>
  <c r="BF76" i="20"/>
  <c r="BD76" i="20"/>
  <c r="X21" i="23"/>
  <c r="Y21" i="23" s="1"/>
  <c r="AU119" i="20"/>
  <c r="BH135" i="20"/>
  <c r="AZ135" i="20"/>
  <c r="AW92" i="20"/>
  <c r="S87" i="23"/>
  <c r="N87" i="23"/>
  <c r="O87" i="23" s="1"/>
  <c r="S51" i="23"/>
  <c r="N51" i="23"/>
  <c r="O51" i="23" s="1"/>
  <c r="BE76" i="20"/>
  <c r="AO63" i="20"/>
  <c r="AH63" i="20"/>
  <c r="BN15" i="20"/>
  <c r="BN16" i="20" s="1"/>
  <c r="BL16" i="20"/>
  <c r="BN79" i="20"/>
  <c r="N34" i="23"/>
  <c r="O34" i="23" s="1"/>
  <c r="AW147" i="20"/>
  <c r="AY147" i="20"/>
  <c r="AX147" i="20"/>
  <c r="AV147" i="20"/>
  <c r="AO147" i="20"/>
  <c r="AH147" i="20"/>
  <c r="AY76" i="20"/>
  <c r="BA155" i="20"/>
  <c r="AO140" i="20"/>
  <c r="AH140" i="20"/>
  <c r="BB60" i="20"/>
  <c r="BN111" i="20"/>
  <c r="AE98" i="20"/>
  <c r="BO98" i="20" s="1"/>
  <c r="BD78" i="20"/>
  <c r="BD95" i="20"/>
  <c r="BO63" i="20"/>
  <c r="BG70" i="20"/>
  <c r="BF70" i="20"/>
  <c r="BD70" i="20"/>
  <c r="BK57" i="20"/>
  <c r="BM57" i="20" s="1"/>
  <c r="AU114" i="20"/>
  <c r="BD121" i="20"/>
  <c r="AC80" i="23"/>
  <c r="X80" i="23"/>
  <c r="Y80" i="23" s="1"/>
  <c r="AC100" i="23"/>
  <c r="X100" i="23"/>
  <c r="Y100" i="23" s="1"/>
  <c r="BE135" i="20"/>
  <c r="AW135" i="20"/>
  <c r="BE147" i="20"/>
  <c r="BH147" i="20"/>
  <c r="AO110" i="20"/>
  <c r="AH110" i="20"/>
  <c r="AH116" i="20"/>
  <c r="BB76" i="20"/>
  <c r="AZ76" i="20"/>
  <c r="BE155" i="20"/>
  <c r="AX60" i="20"/>
  <c r="BN101" i="20"/>
  <c r="AY70" i="20"/>
  <c r="BB70" i="20"/>
  <c r="AZ70" i="20"/>
  <c r="BF121" i="20"/>
  <c r="BA121" i="20"/>
  <c r="AZ121" i="20"/>
  <c r="BN106" i="20"/>
  <c r="AV127" i="20"/>
  <c r="AE83" i="20"/>
  <c r="BO83" i="20" s="1"/>
  <c r="BO84" i="20" s="1"/>
  <c r="AU83" i="20"/>
  <c r="AU84" i="20" s="1"/>
  <c r="AX135" i="20"/>
  <c r="BA135" i="20"/>
  <c r="BG135" i="20"/>
  <c r="AW67" i="20"/>
  <c r="BN96" i="20"/>
  <c r="AX70" i="20"/>
  <c r="AV70" i="20"/>
  <c r="AW121" i="20"/>
  <c r="BD84" i="20"/>
  <c r="BG147" i="20"/>
  <c r="BB147" i="20"/>
  <c r="AZ147" i="20"/>
  <c r="BG76" i="20"/>
  <c r="AW76" i="20"/>
  <c r="BH76" i="20"/>
  <c r="AO82" i="20"/>
  <c r="AH82" i="20"/>
  <c r="AO76" i="20"/>
  <c r="BN133" i="20"/>
  <c r="AO78" i="20"/>
  <c r="AH78" i="20"/>
  <c r="BA70" i="20"/>
  <c r="AW70" i="20"/>
  <c r="BH70" i="20"/>
  <c r="AY121" i="20"/>
  <c r="AX121" i="20"/>
  <c r="BH121" i="20"/>
  <c r="AH60" i="20"/>
  <c r="BD127" i="20"/>
  <c r="BB127" i="20"/>
  <c r="S72" i="23"/>
  <c r="N72" i="23"/>
  <c r="O72" i="23" s="1"/>
  <c r="AX84" i="20"/>
  <c r="BK83" i="20"/>
  <c r="BL83" i="20"/>
  <c r="S107" i="23"/>
  <c r="N107" i="23"/>
  <c r="O107" i="23" s="1"/>
  <c r="BD103" i="20"/>
  <c r="X119" i="23"/>
  <c r="Y119" i="23" s="1"/>
  <c r="X60" i="23"/>
  <c r="Y60" i="23" s="1"/>
  <c r="BC32" i="23"/>
  <c r="BD104" i="23"/>
  <c r="BM97" i="20"/>
  <c r="S109" i="23"/>
  <c r="N109" i="23"/>
  <c r="O109" i="23" s="1"/>
  <c r="AC57" i="23"/>
  <c r="X57" i="23"/>
  <c r="Y57" i="23" s="1"/>
  <c r="S63" i="23"/>
  <c r="N63" i="23"/>
  <c r="O63" i="23" s="1"/>
  <c r="BK74" i="20"/>
  <c r="BL74" i="20"/>
  <c r="BN74" i="20" s="1"/>
  <c r="S122" i="23"/>
  <c r="N122" i="23"/>
  <c r="O122" i="23" s="1"/>
  <c r="BK25" i="20"/>
  <c r="BL25" i="20"/>
  <c r="BN25" i="20" s="1"/>
  <c r="AE102" i="20"/>
  <c r="BO102" i="20" s="1"/>
  <c r="AU102" i="20"/>
  <c r="AU103" i="20" s="1"/>
  <c r="S75" i="23"/>
  <c r="N75" i="23"/>
  <c r="O75" i="23" s="1"/>
  <c r="S70" i="23"/>
  <c r="N70" i="23"/>
  <c r="O70" i="23" s="1"/>
  <c r="BM35" i="20"/>
  <c r="S105" i="23"/>
  <c r="N105" i="23"/>
  <c r="O105" i="23" s="1"/>
  <c r="BM24" i="20"/>
  <c r="AC83" i="23"/>
  <c r="X83" i="23"/>
  <c r="Y83" i="23" s="1"/>
  <c r="AE151" i="20"/>
  <c r="BO151" i="20" s="1"/>
  <c r="BO152" i="20" s="1"/>
  <c r="AU151" i="20"/>
  <c r="BK151" i="20"/>
  <c r="BL151" i="20"/>
  <c r="AU128" i="20"/>
  <c r="S103" i="23"/>
  <c r="N103" i="23"/>
  <c r="O103" i="23" s="1"/>
  <c r="AU85" i="20"/>
  <c r="AU86" i="20" s="1"/>
  <c r="AE85" i="20"/>
  <c r="BO85" i="20" s="1"/>
  <c r="BO86" i="20" s="1"/>
  <c r="AU141" i="20"/>
  <c r="AE141" i="20"/>
  <c r="BO141" i="20" s="1"/>
  <c r="BL141" i="20"/>
  <c r="BK141" i="20"/>
  <c r="S11" i="23"/>
  <c r="N11" i="23"/>
  <c r="O11" i="23" s="1"/>
  <c r="BM73" i="20"/>
  <c r="AU131" i="20"/>
  <c r="BJ131" i="20" s="1"/>
  <c r="BR131" i="20" s="1"/>
  <c r="BM46" i="20"/>
  <c r="BU49" i="20"/>
  <c r="BW49" i="20" s="1"/>
  <c r="BX49" i="20" s="1"/>
  <c r="BY49" i="20" s="1"/>
  <c r="S38" i="23"/>
  <c r="N38" i="23"/>
  <c r="O38" i="23" s="1"/>
  <c r="BL77" i="20"/>
  <c r="BK77" i="20"/>
  <c r="BL42" i="20"/>
  <c r="BN42" i="20" s="1"/>
  <c r="BK42" i="20"/>
  <c r="BM138" i="20"/>
  <c r="BM101" i="20"/>
  <c r="AU148" i="20"/>
  <c r="AU149" i="20" s="1"/>
  <c r="AE148" i="20"/>
  <c r="BO148" i="20" s="1"/>
  <c r="BO149" i="20" s="1"/>
  <c r="S61" i="23"/>
  <c r="N61" i="23"/>
  <c r="O61" i="23" s="1"/>
  <c r="S73" i="23"/>
  <c r="N73" i="23"/>
  <c r="O73" i="23" s="1"/>
  <c r="BM18" i="20"/>
  <c r="BQ18" i="20" s="1"/>
  <c r="AH111" i="23"/>
  <c r="AI111" i="23" s="1"/>
  <c r="AM111" i="23"/>
  <c r="S113" i="23"/>
  <c r="N113" i="23"/>
  <c r="O113" i="23" s="1"/>
  <c r="BK11" i="20"/>
  <c r="BL11" i="20"/>
  <c r="BK40" i="20"/>
  <c r="BL40" i="20"/>
  <c r="BN40" i="20" s="1"/>
  <c r="BL104" i="20"/>
  <c r="BK104" i="20"/>
  <c r="AE104" i="20"/>
  <c r="BO104" i="20" s="1"/>
  <c r="BO105" i="20" s="1"/>
  <c r="AU104" i="20"/>
  <c r="AU105" i="20" s="1"/>
  <c r="S85" i="23"/>
  <c r="N85" i="23"/>
  <c r="O85" i="23" s="1"/>
  <c r="S64" i="23"/>
  <c r="N64" i="23"/>
  <c r="O64" i="23" s="1"/>
  <c r="AE74" i="20"/>
  <c r="BO74" i="20" s="1"/>
  <c r="AU74" i="20"/>
  <c r="BF60" i="20"/>
  <c r="BL115" i="20"/>
  <c r="BN115" i="20" s="1"/>
  <c r="BK115" i="20"/>
  <c r="BL120" i="20"/>
  <c r="BN120" i="20" s="1"/>
  <c r="BK120" i="20"/>
  <c r="BL126" i="20"/>
  <c r="BN126" i="20" s="1"/>
  <c r="BK126" i="20"/>
  <c r="BU129" i="20"/>
  <c r="BW129" i="20" s="1"/>
  <c r="BX129" i="20" s="1"/>
  <c r="BY129" i="20" s="1"/>
  <c r="AE44" i="20"/>
  <c r="AU44" i="20"/>
  <c r="BL44" i="20"/>
  <c r="BN44" i="20" s="1"/>
  <c r="AE38" i="20"/>
  <c r="BO38" i="20" s="1"/>
  <c r="AU38" i="20"/>
  <c r="S35" i="23"/>
  <c r="N35" i="23"/>
  <c r="O35" i="23" s="1"/>
  <c r="AE39" i="20"/>
  <c r="BO39" i="20" s="1"/>
  <c r="AU39" i="20"/>
  <c r="S36" i="23"/>
  <c r="N36" i="23"/>
  <c r="O36" i="23" s="1"/>
  <c r="BM87" i="20"/>
  <c r="BM88" i="20" s="1"/>
  <c r="AE37" i="20"/>
  <c r="BO37" i="20" s="1"/>
  <c r="AU37" i="20"/>
  <c r="AC34" i="23"/>
  <c r="X34" i="23"/>
  <c r="Y34" i="23" s="1"/>
  <c r="AE42" i="20"/>
  <c r="BO42" i="20" s="1"/>
  <c r="AU42" i="20"/>
  <c r="S39" i="23"/>
  <c r="N39" i="23"/>
  <c r="O39" i="23" s="1"/>
  <c r="AU59" i="20"/>
  <c r="AE59" i="20"/>
  <c r="BO59" i="20" s="1"/>
  <c r="BM53" i="20"/>
  <c r="BQ53" i="20" s="1"/>
  <c r="BM22" i="20"/>
  <c r="BM98" i="20"/>
  <c r="BL30" i="20"/>
  <c r="BN30" i="20" s="1"/>
  <c r="BK30" i="20"/>
  <c r="AW117" i="23"/>
  <c r="BB117" i="23" s="1"/>
  <c r="BC117" i="23" s="1"/>
  <c r="AR117" i="23"/>
  <c r="AS117" i="23" s="1"/>
  <c r="AM119" i="23"/>
  <c r="AH119" i="23"/>
  <c r="AI119" i="23" s="1"/>
  <c r="AE13" i="20"/>
  <c r="BO13" i="20" s="1"/>
  <c r="BO14" i="20" s="1"/>
  <c r="AU13" i="20"/>
  <c r="AU14" i="20" s="1"/>
  <c r="S12" i="23"/>
  <c r="N12" i="23"/>
  <c r="O12" i="23" s="1"/>
  <c r="BU45" i="20"/>
  <c r="BW45" i="20" s="1"/>
  <c r="BX45" i="20" s="1"/>
  <c r="BY45" i="20" s="1"/>
  <c r="S33" i="23"/>
  <c r="N33" i="23"/>
  <c r="O33" i="23" s="1"/>
  <c r="S18" i="23"/>
  <c r="N18" i="23"/>
  <c r="O18" i="23" s="1"/>
  <c r="AY60" i="20"/>
  <c r="AU19" i="20"/>
  <c r="AE19" i="20"/>
  <c r="BO19" i="20" s="1"/>
  <c r="S16" i="23"/>
  <c r="N16" i="23"/>
  <c r="O16" i="23" s="1"/>
  <c r="AC93" i="23"/>
  <c r="X93" i="23"/>
  <c r="Y93" i="23" s="1"/>
  <c r="AE117" i="20"/>
  <c r="BO117" i="20" s="1"/>
  <c r="AU117" i="20"/>
  <c r="S95" i="23"/>
  <c r="N95" i="23"/>
  <c r="O95" i="23" s="1"/>
  <c r="BG132" i="20"/>
  <c r="BB132" i="20"/>
  <c r="AW132" i="20"/>
  <c r="AV132" i="20"/>
  <c r="BL139" i="20"/>
  <c r="BN139" i="20" s="1"/>
  <c r="BK139" i="20"/>
  <c r="BL34" i="20"/>
  <c r="BN34" i="20" s="1"/>
  <c r="BK34" i="20"/>
  <c r="S115" i="23"/>
  <c r="N115" i="23"/>
  <c r="O115" i="23" s="1"/>
  <c r="BK17" i="20"/>
  <c r="BL17" i="20"/>
  <c r="BN17" i="20" s="1"/>
  <c r="BK85" i="20"/>
  <c r="BL85" i="20"/>
  <c r="AE154" i="20"/>
  <c r="BO154" i="20" s="1"/>
  <c r="AU154" i="20"/>
  <c r="BK154" i="20"/>
  <c r="BL154" i="20"/>
  <c r="BN154" i="20" s="1"/>
  <c r="S123" i="23"/>
  <c r="N123" i="23"/>
  <c r="O123" i="23" s="1"/>
  <c r="AE136" i="20"/>
  <c r="BO136" i="20" s="1"/>
  <c r="AU136" i="20"/>
  <c r="AC26" i="23"/>
  <c r="X26" i="23"/>
  <c r="Y26" i="23" s="1"/>
  <c r="BM54" i="20"/>
  <c r="AE75" i="20"/>
  <c r="BO75" i="20" s="1"/>
  <c r="AU75" i="20"/>
  <c r="S67" i="23"/>
  <c r="N67" i="23"/>
  <c r="O67" i="23" s="1"/>
  <c r="BM112" i="20"/>
  <c r="AE153" i="20"/>
  <c r="BO153" i="20" s="1"/>
  <c r="AU153" i="20"/>
  <c r="BK153" i="20"/>
  <c r="BL153" i="20"/>
  <c r="AE144" i="20"/>
  <c r="BO144" i="20" s="1"/>
  <c r="AU144" i="20"/>
  <c r="BL144" i="20"/>
  <c r="BN144" i="20" s="1"/>
  <c r="BK144" i="20"/>
  <c r="AE43" i="20"/>
  <c r="BO43" i="20" s="1"/>
  <c r="AU43" i="20"/>
  <c r="S40" i="23"/>
  <c r="N40" i="23"/>
  <c r="O40" i="23" s="1"/>
  <c r="AC71" i="23"/>
  <c r="AO60" i="20"/>
  <c r="AE89" i="20"/>
  <c r="BO89" i="20" s="1"/>
  <c r="BO90" i="20" s="1"/>
  <c r="AU89" i="20"/>
  <c r="AU90" i="20" s="1"/>
  <c r="S25" i="23"/>
  <c r="N25" i="23"/>
  <c r="O25" i="23" s="1"/>
  <c r="AE32" i="20"/>
  <c r="BO32" i="20" s="1"/>
  <c r="AU32" i="20"/>
  <c r="BK32" i="20"/>
  <c r="BL32" i="20"/>
  <c r="BN32" i="20" s="1"/>
  <c r="BL80" i="20"/>
  <c r="BN80" i="20" s="1"/>
  <c r="BK80" i="20"/>
  <c r="AE80" i="20"/>
  <c r="BO80" i="20" s="1"/>
  <c r="AU80" i="20"/>
  <c r="S114" i="23"/>
  <c r="N114" i="23"/>
  <c r="O114" i="23" s="1"/>
  <c r="AZ60" i="20"/>
  <c r="AE122" i="20"/>
  <c r="BO122" i="20" s="1"/>
  <c r="AU122" i="20"/>
  <c r="AU124" i="20" s="1"/>
  <c r="S99" i="23"/>
  <c r="N99" i="23"/>
  <c r="O99" i="23" s="1"/>
  <c r="AE134" i="20"/>
  <c r="BO134" i="20" s="1"/>
  <c r="AU134" i="20"/>
  <c r="AU135" i="20" s="1"/>
  <c r="S108" i="23"/>
  <c r="N108" i="23"/>
  <c r="O108" i="23" s="1"/>
  <c r="BK41" i="20"/>
  <c r="BL41" i="20"/>
  <c r="BN41" i="20" s="1"/>
  <c r="S68" i="23"/>
  <c r="N68" i="23"/>
  <c r="O68" i="23" s="1"/>
  <c r="S118" i="23"/>
  <c r="N118" i="23"/>
  <c r="O118" i="23" s="1"/>
  <c r="S77" i="23"/>
  <c r="N77" i="23"/>
  <c r="O77" i="23" s="1"/>
  <c r="BL66" i="20"/>
  <c r="BK66" i="20"/>
  <c r="AU130" i="20"/>
  <c r="AE33" i="20"/>
  <c r="BO33" i="20" s="1"/>
  <c r="AU33" i="20"/>
  <c r="S30" i="23"/>
  <c r="N30" i="23"/>
  <c r="O30" i="23" s="1"/>
  <c r="S121" i="23"/>
  <c r="N121" i="23"/>
  <c r="O121" i="23" s="1"/>
  <c r="S17" i="23"/>
  <c r="N17" i="23"/>
  <c r="O17" i="23" s="1"/>
  <c r="BL68" i="20"/>
  <c r="BK68" i="20"/>
  <c r="AU21" i="20"/>
  <c r="BJ21" i="20" s="1"/>
  <c r="AE21" i="20"/>
  <c r="BO21" i="20" s="1"/>
  <c r="BQ21" i="20" s="1"/>
  <c r="BE132" i="20"/>
  <c r="BD132" i="20"/>
  <c r="AU17" i="20"/>
  <c r="AE17" i="20"/>
  <c r="BO17" i="20" s="1"/>
  <c r="S24" i="23"/>
  <c r="N24" i="23"/>
  <c r="O24" i="23" s="1"/>
  <c r="AE11" i="20"/>
  <c r="BO11" i="20" s="1"/>
  <c r="BO12" i="20" s="1"/>
  <c r="AU11" i="20"/>
  <c r="AU12" i="20" s="1"/>
  <c r="AE40" i="20"/>
  <c r="BO40" i="20" s="1"/>
  <c r="AU40" i="20"/>
  <c r="S37" i="23"/>
  <c r="N37" i="23"/>
  <c r="O37" i="23" s="1"/>
  <c r="BK72" i="20"/>
  <c r="BL72" i="20"/>
  <c r="N26" i="23"/>
  <c r="O26" i="23" s="1"/>
  <c r="S66" i="23"/>
  <c r="N66" i="23"/>
  <c r="O66" i="23" s="1"/>
  <c r="S116" i="23"/>
  <c r="N116" i="23"/>
  <c r="O116" i="23" s="1"/>
  <c r="BM81" i="20"/>
  <c r="BQ81" i="20" s="1"/>
  <c r="S22" i="23"/>
  <c r="N22" i="23"/>
  <c r="O22" i="23" s="1"/>
  <c r="AC81" i="23"/>
  <c r="BL38" i="20"/>
  <c r="BN38" i="20" s="1"/>
  <c r="BK38" i="20"/>
  <c r="BM61" i="20"/>
  <c r="S29" i="23"/>
  <c r="N29" i="23"/>
  <c r="O29" i="23" s="1"/>
  <c r="BK39" i="20"/>
  <c r="BL39" i="20"/>
  <c r="BN39" i="20" s="1"/>
  <c r="BK37" i="20"/>
  <c r="BL37" i="20"/>
  <c r="BN37" i="20" s="1"/>
  <c r="AE41" i="20"/>
  <c r="BO41" i="20" s="1"/>
  <c r="AU41" i="20"/>
  <c r="BK93" i="20"/>
  <c r="BL93" i="20"/>
  <c r="AE66" i="20"/>
  <c r="BO66" i="20" s="1"/>
  <c r="BO67" i="20" s="1"/>
  <c r="AU66" i="20"/>
  <c r="AU67" i="20" s="1"/>
  <c r="AM60" i="23"/>
  <c r="AH60" i="23"/>
  <c r="AI60" i="23" s="1"/>
  <c r="BM56" i="20"/>
  <c r="BM50" i="20"/>
  <c r="AE36" i="20"/>
  <c r="BO36" i="20" s="1"/>
  <c r="AU36" i="20"/>
  <c r="BK36" i="20"/>
  <c r="BL36" i="20"/>
  <c r="BN36" i="20" s="1"/>
  <c r="BL117" i="20"/>
  <c r="BK117" i="20"/>
  <c r="AC101" i="23"/>
  <c r="X101" i="23"/>
  <c r="Y101" i="23" s="1"/>
  <c r="BF132" i="20"/>
  <c r="BA132" i="20"/>
  <c r="AZ132" i="20"/>
  <c r="AU143" i="20"/>
  <c r="AE143" i="20"/>
  <c r="BO143" i="20" s="1"/>
  <c r="BL143" i="20"/>
  <c r="BN143" i="20" s="1"/>
  <c r="BK143" i="20"/>
  <c r="AM96" i="23"/>
  <c r="AH96" i="23"/>
  <c r="AI96" i="23" s="1"/>
  <c r="AU71" i="20"/>
  <c r="BJ71" i="20" s="1"/>
  <c r="BR71" i="20" s="1"/>
  <c r="BK69" i="20"/>
  <c r="BL69" i="20"/>
  <c r="BN69" i="20" s="1"/>
  <c r="AU27" i="20"/>
  <c r="BJ27" i="20" s="1"/>
  <c r="BR27" i="20" s="1"/>
  <c r="BM125" i="20"/>
  <c r="BL136" i="20"/>
  <c r="BK136" i="20"/>
  <c r="AE29" i="20"/>
  <c r="BO29" i="20" s="1"/>
  <c r="AU29" i="20"/>
  <c r="BK29" i="20"/>
  <c r="BL29" i="20"/>
  <c r="BN29" i="20" s="1"/>
  <c r="BK75" i="20"/>
  <c r="BL75" i="20"/>
  <c r="BN75" i="20" s="1"/>
  <c r="AE69" i="20"/>
  <c r="BO69" i="20" s="1"/>
  <c r="AU69" i="20"/>
  <c r="S62" i="23"/>
  <c r="N62" i="23"/>
  <c r="O62" i="23" s="1"/>
  <c r="S106" i="23"/>
  <c r="N106" i="23"/>
  <c r="O106" i="23" s="1"/>
  <c r="AE72" i="20"/>
  <c r="BO72" i="20" s="1"/>
  <c r="AU72" i="20"/>
  <c r="BK43" i="20"/>
  <c r="BL43" i="20"/>
  <c r="BN43" i="20" s="1"/>
  <c r="BM26" i="20"/>
  <c r="X46" i="23"/>
  <c r="Y46" i="23" s="1"/>
  <c r="AC46" i="23"/>
  <c r="S94" i="23"/>
  <c r="N94" i="23"/>
  <c r="O94" i="23" s="1"/>
  <c r="AE120" i="20"/>
  <c r="BO120" i="20" s="1"/>
  <c r="AU120" i="20"/>
  <c r="S98" i="23"/>
  <c r="N98" i="23"/>
  <c r="O98" i="23" s="1"/>
  <c r="AE126" i="20"/>
  <c r="BO126" i="20" s="1"/>
  <c r="AU126" i="20"/>
  <c r="S102" i="23"/>
  <c r="N102" i="23"/>
  <c r="O102" i="23" s="1"/>
  <c r="AE25" i="20"/>
  <c r="BO25" i="20" s="1"/>
  <c r="AU25" i="20"/>
  <c r="BM52" i="20"/>
  <c r="BL102" i="20"/>
  <c r="BN102" i="20" s="1"/>
  <c r="BK102" i="20"/>
  <c r="S84" i="23"/>
  <c r="N84" i="23"/>
  <c r="O84" i="23" s="1"/>
  <c r="S41" i="23"/>
  <c r="N41" i="23"/>
  <c r="O41" i="23" s="1"/>
  <c r="BL89" i="20"/>
  <c r="BK89" i="20"/>
  <c r="AE28" i="20"/>
  <c r="BO28" i="20" s="1"/>
  <c r="AU28" i="20"/>
  <c r="BK28" i="20"/>
  <c r="BL28" i="20"/>
  <c r="BN28" i="20" s="1"/>
  <c r="AU142" i="20"/>
  <c r="AE142" i="20"/>
  <c r="BO142" i="20" s="1"/>
  <c r="BL142" i="20"/>
  <c r="BN142" i="20" s="1"/>
  <c r="BK142" i="20"/>
  <c r="N60" i="23"/>
  <c r="O60" i="23" s="1"/>
  <c r="BL122" i="20"/>
  <c r="BK122" i="20"/>
  <c r="BL134" i="20"/>
  <c r="BN134" i="20" s="1"/>
  <c r="BK134" i="20"/>
  <c r="AU77" i="20"/>
  <c r="AU78" i="20" s="1"/>
  <c r="AE77" i="20"/>
  <c r="BO77" i="20" s="1"/>
  <c r="BO78" i="20" s="1"/>
  <c r="AE146" i="20"/>
  <c r="BO146" i="20" s="1"/>
  <c r="AU146" i="20"/>
  <c r="BL146" i="20"/>
  <c r="BN146" i="20" s="1"/>
  <c r="BK146" i="20"/>
  <c r="AU93" i="20"/>
  <c r="AE93" i="20"/>
  <c r="BO93" i="20" s="1"/>
  <c r="BO95" i="20" s="1"/>
  <c r="BL59" i="20"/>
  <c r="BN59" i="20" s="1"/>
  <c r="BK59" i="20"/>
  <c r="S56" i="23"/>
  <c r="N56" i="23"/>
  <c r="O56" i="23" s="1"/>
  <c r="BL130" i="20"/>
  <c r="BN130" i="20" s="1"/>
  <c r="AE130" i="20"/>
  <c r="BO130" i="20" s="1"/>
  <c r="BK130" i="20"/>
  <c r="BM47" i="20"/>
  <c r="BM123" i="20"/>
  <c r="BK33" i="20"/>
  <c r="BL33" i="20"/>
  <c r="BN33" i="20" s="1"/>
  <c r="BM62" i="20"/>
  <c r="AE20" i="20"/>
  <c r="BO20" i="20" s="1"/>
  <c r="AU20" i="20"/>
  <c r="BK20" i="20"/>
  <c r="BL20" i="20"/>
  <c r="BN20" i="20" s="1"/>
  <c r="AE30" i="20"/>
  <c r="BO30" i="20" s="1"/>
  <c r="AU30" i="20"/>
  <c r="S27" i="23"/>
  <c r="N27" i="23"/>
  <c r="O27" i="23" s="1"/>
  <c r="BK148" i="20"/>
  <c r="BL148" i="20"/>
  <c r="BK13" i="20"/>
  <c r="BL13" i="20"/>
  <c r="AE68" i="20"/>
  <c r="BO68" i="20" s="1"/>
  <c r="AU68" i="20"/>
  <c r="BG60" i="20"/>
  <c r="AH21" i="23"/>
  <c r="AI21" i="23" s="1"/>
  <c r="AM21" i="23"/>
  <c r="BK19" i="20"/>
  <c r="BL19" i="20"/>
  <c r="BN19" i="20" s="1"/>
  <c r="AY132" i="20"/>
  <c r="AX132" i="20"/>
  <c r="BH132" i="20"/>
  <c r="BL128" i="20"/>
  <c r="AE128" i="20"/>
  <c r="BO128" i="20" s="1"/>
  <c r="BK128" i="20"/>
  <c r="AE139" i="20"/>
  <c r="BO139" i="20" s="1"/>
  <c r="AU139" i="20"/>
  <c r="S112" i="23"/>
  <c r="N112" i="23"/>
  <c r="O112" i="23" s="1"/>
  <c r="AE34" i="20"/>
  <c r="BO34" i="20" s="1"/>
  <c r="AU34" i="20"/>
  <c r="S31" i="23"/>
  <c r="N31" i="23"/>
  <c r="O31" i="23" s="1"/>
  <c r="X160" i="54"/>
  <c r="Y12" i="54"/>
  <c r="S14" i="23"/>
  <c r="N14" i="23"/>
  <c r="O14" i="23" s="1"/>
  <c r="X111" i="23"/>
  <c r="Y111" i="23" s="1"/>
  <c r="BD42" i="23"/>
  <c r="BD19" i="23"/>
  <c r="BD52" i="23"/>
  <c r="AU82" i="20" l="1"/>
  <c r="BJ64" i="20"/>
  <c r="BU64" i="20" s="1"/>
  <c r="BU65" i="20" s="1"/>
  <c r="BL100" i="20"/>
  <c r="BB116" i="20"/>
  <c r="BD82" i="23"/>
  <c r="AM59" i="23"/>
  <c r="AH59" i="23"/>
  <c r="AI59" i="23" s="1"/>
  <c r="BQ62" i="20"/>
  <c r="BZ62" i="20" s="1"/>
  <c r="BL63" i="20"/>
  <c r="N110" i="23"/>
  <c r="O110" i="23" s="1"/>
  <c r="AY116" i="20"/>
  <c r="BF116" i="20"/>
  <c r="BJ53" i="20"/>
  <c r="BU53" i="20" s="1"/>
  <c r="BJ47" i="20"/>
  <c r="BU47" i="20" s="1"/>
  <c r="BJ73" i="20"/>
  <c r="BU73" i="20" s="1"/>
  <c r="BD74" i="23"/>
  <c r="BQ97" i="20"/>
  <c r="BV97" i="20" s="1"/>
  <c r="AU137" i="20"/>
  <c r="AU140" i="20" s="1"/>
  <c r="BI115" i="20"/>
  <c r="BD92" i="23"/>
  <c r="BQ50" i="20"/>
  <c r="BV50" i="20" s="1"/>
  <c r="BD32" i="23"/>
  <c r="AU95" i="20"/>
  <c r="BD15" i="23"/>
  <c r="BC115" i="20"/>
  <c r="BQ123" i="20"/>
  <c r="BZ123" i="20" s="1"/>
  <c r="BO100" i="20"/>
  <c r="BQ96" i="20"/>
  <c r="BZ96" i="20" s="1"/>
  <c r="BO124" i="20"/>
  <c r="AU115" i="20"/>
  <c r="BK137" i="20"/>
  <c r="BM137" i="20" s="1"/>
  <c r="BN87" i="20"/>
  <c r="BN88" i="20" s="1"/>
  <c r="BI95" i="20"/>
  <c r="AZ116" i="20"/>
  <c r="BJ106" i="20"/>
  <c r="BU106" i="20" s="1"/>
  <c r="AW65" i="23"/>
  <c r="BB65" i="23" s="1"/>
  <c r="BC65" i="23" s="1"/>
  <c r="BD65" i="23" s="1"/>
  <c r="BQ47" i="20"/>
  <c r="BO82" i="20"/>
  <c r="BJ113" i="20"/>
  <c r="BR113" i="20" s="1"/>
  <c r="BJ94" i="20"/>
  <c r="BU94" i="20" s="1"/>
  <c r="BG116" i="20"/>
  <c r="BD47" i="23"/>
  <c r="BD90" i="23"/>
  <c r="BK16" i="20"/>
  <c r="BQ150" i="20"/>
  <c r="BV150" i="20" s="1"/>
  <c r="BJ57" i="20"/>
  <c r="BU57" i="20" s="1"/>
  <c r="BJ52" i="20"/>
  <c r="BU52" i="20" s="1"/>
  <c r="BD13" i="23"/>
  <c r="AU63" i="20"/>
  <c r="BJ24" i="20"/>
  <c r="BU24" i="20" s="1"/>
  <c r="BQ56" i="20"/>
  <c r="BV56" i="20" s="1"/>
  <c r="BW56" i="20" s="1"/>
  <c r="BX56" i="20" s="1"/>
  <c r="BY56" i="20" s="1"/>
  <c r="BK100" i="20"/>
  <c r="BD28" i="23"/>
  <c r="BJ118" i="20"/>
  <c r="BR118" i="20" s="1"/>
  <c r="BQ145" i="20"/>
  <c r="BV145" i="20" s="1"/>
  <c r="BJ123" i="20"/>
  <c r="BU123" i="20" s="1"/>
  <c r="BH116" i="20"/>
  <c r="AC78" i="23"/>
  <c r="AH78" i="23" s="1"/>
  <c r="AI78" i="23" s="1"/>
  <c r="BJ22" i="20"/>
  <c r="BU22" i="20" s="1"/>
  <c r="BQ46" i="20"/>
  <c r="BV46" i="20" s="1"/>
  <c r="BN61" i="20"/>
  <c r="BN63" i="20" s="1"/>
  <c r="BN100" i="20"/>
  <c r="BJ51" i="20"/>
  <c r="BU51" i="20" s="1"/>
  <c r="AH110" i="23"/>
  <c r="AI110" i="23" s="1"/>
  <c r="AR110" i="23"/>
  <c r="AS110" i="23" s="1"/>
  <c r="BJ112" i="20"/>
  <c r="BU112" i="20" s="1"/>
  <c r="BQ15" i="20"/>
  <c r="BQ16" i="20" s="1"/>
  <c r="BI114" i="20"/>
  <c r="BC63" i="20"/>
  <c r="BC124" i="20"/>
  <c r="BQ52" i="20"/>
  <c r="BZ52" i="20" s="1"/>
  <c r="X110" i="23"/>
  <c r="Y110" i="23" s="1"/>
  <c r="BJ62" i="20"/>
  <c r="BU62" i="20" s="1"/>
  <c r="BJ81" i="20"/>
  <c r="BU81" i="20" s="1"/>
  <c r="BC114" i="20"/>
  <c r="BI137" i="20"/>
  <c r="BI140" i="20" s="1"/>
  <c r="BO127" i="20"/>
  <c r="BV55" i="20"/>
  <c r="BQ24" i="20"/>
  <c r="BD116" i="20"/>
  <c r="X79" i="23"/>
  <c r="Y79" i="23" s="1"/>
  <c r="AH79" i="23"/>
  <c r="AI79" i="23" s="1"/>
  <c r="BC152" i="20"/>
  <c r="BD54" i="23"/>
  <c r="BJ61" i="20"/>
  <c r="BU61" i="20" s="1"/>
  <c r="BD53" i="23"/>
  <c r="BD20" i="23"/>
  <c r="BJ18" i="20"/>
  <c r="BU18" i="20" s="1"/>
  <c r="BC137" i="20"/>
  <c r="BC140" i="20" s="1"/>
  <c r="BQ98" i="20"/>
  <c r="BZ98" i="20" s="1"/>
  <c r="BQ73" i="20"/>
  <c r="BR73" i="20" s="1"/>
  <c r="AR79" i="23"/>
  <c r="AS79" i="23" s="1"/>
  <c r="BJ87" i="20"/>
  <c r="BU87" i="20" s="1"/>
  <c r="BU88" i="20" s="1"/>
  <c r="BI82" i="20"/>
  <c r="BI103" i="20"/>
  <c r="BJ145" i="20"/>
  <c r="BU145" i="20" s="1"/>
  <c r="BD50" i="23"/>
  <c r="BI63" i="20"/>
  <c r="BJ134" i="20"/>
  <c r="BJ98" i="20"/>
  <c r="BU98" i="20" s="1"/>
  <c r="BJ96" i="20"/>
  <c r="BD48" i="23"/>
  <c r="BD69" i="23"/>
  <c r="AC49" i="23"/>
  <c r="X49" i="23"/>
  <c r="Y49" i="23" s="1"/>
  <c r="BJ97" i="20"/>
  <c r="BO135" i="20"/>
  <c r="BQ112" i="20"/>
  <c r="BK114" i="20"/>
  <c r="BK116" i="20" s="1"/>
  <c r="BJ35" i="20"/>
  <c r="BU35" i="20" s="1"/>
  <c r="BJ50" i="20"/>
  <c r="BI107" i="20"/>
  <c r="BD55" i="23"/>
  <c r="AM86" i="23"/>
  <c r="AW86" i="23" s="1"/>
  <c r="BB86" i="23" s="1"/>
  <c r="BC86" i="23" s="1"/>
  <c r="BO116" i="20"/>
  <c r="BJ42" i="20"/>
  <c r="BU42" i="20" s="1"/>
  <c r="BJ58" i="20"/>
  <c r="BU58" i="20" s="1"/>
  <c r="BJ102" i="20"/>
  <c r="BD91" i="23"/>
  <c r="BJ120" i="20"/>
  <c r="BJ13" i="20"/>
  <c r="BJ14" i="20" s="1"/>
  <c r="BJ133" i="20"/>
  <c r="AR58" i="23"/>
  <c r="AS58" i="23" s="1"/>
  <c r="AW58" i="23"/>
  <c r="BB58" i="23" s="1"/>
  <c r="BC58" i="23" s="1"/>
  <c r="BQ22" i="20"/>
  <c r="BQ125" i="20"/>
  <c r="BZ125" i="20" s="1"/>
  <c r="BQ111" i="20"/>
  <c r="BV111" i="20" s="1"/>
  <c r="BD23" i="23"/>
  <c r="BJ79" i="20"/>
  <c r="BU79" i="20" s="1"/>
  <c r="BQ138" i="20"/>
  <c r="BZ138" i="20" s="1"/>
  <c r="BQ106" i="20"/>
  <c r="BJ119" i="20"/>
  <c r="BU119" i="20" s="1"/>
  <c r="BI108" i="20"/>
  <c r="BB110" i="20"/>
  <c r="BJ142" i="20"/>
  <c r="BO132" i="20"/>
  <c r="AU70" i="20"/>
  <c r="BC82" i="20"/>
  <c r="BQ31" i="20"/>
  <c r="BZ31" i="20" s="1"/>
  <c r="AU152" i="20"/>
  <c r="BQ101" i="20"/>
  <c r="BZ101" i="20" s="1"/>
  <c r="BK107" i="20"/>
  <c r="BM107" i="20" s="1"/>
  <c r="BJ101" i="20"/>
  <c r="BU101" i="20" s="1"/>
  <c r="BJ31" i="20"/>
  <c r="BU31" i="20" s="1"/>
  <c r="BJ89" i="20"/>
  <c r="BJ90" i="20" s="1"/>
  <c r="BJ25" i="20"/>
  <c r="BJ48" i="20"/>
  <c r="BU48" i="20" s="1"/>
  <c r="BQ119" i="20"/>
  <c r="BV119" i="20" s="1"/>
  <c r="BJ26" i="20"/>
  <c r="BU26" i="20" s="1"/>
  <c r="BJ59" i="20"/>
  <c r="BJ146" i="20"/>
  <c r="BD120" i="23"/>
  <c r="BC108" i="20"/>
  <c r="BC107" i="20"/>
  <c r="BJ36" i="20"/>
  <c r="BQ79" i="20"/>
  <c r="BO103" i="20"/>
  <c r="BL135" i="20"/>
  <c r="BJ122" i="20"/>
  <c r="BJ126" i="20"/>
  <c r="BJ69" i="20"/>
  <c r="BU69" i="20" s="1"/>
  <c r="BR21" i="20"/>
  <c r="BK124" i="20"/>
  <c r="BK152" i="20"/>
  <c r="BK135" i="20"/>
  <c r="BK103" i="20"/>
  <c r="BK67" i="20"/>
  <c r="BK82" i="20"/>
  <c r="AU155" i="20"/>
  <c r="BK127" i="20"/>
  <c r="BK12" i="20"/>
  <c r="BQ57" i="20"/>
  <c r="AO149" i="20"/>
  <c r="BI109" i="20"/>
  <c r="AV110" i="20"/>
  <c r="AV156" i="20" s="1"/>
  <c r="BJ85" i="20"/>
  <c r="BJ86" i="20" s="1"/>
  <c r="BJ37" i="20"/>
  <c r="BJ72" i="20"/>
  <c r="BU72" i="20" s="1"/>
  <c r="BJ29" i="20"/>
  <c r="BU29" i="20" s="1"/>
  <c r="BJ44" i="20"/>
  <c r="BJ40" i="20"/>
  <c r="BQ54" i="20"/>
  <c r="BV54" i="20" s="1"/>
  <c r="BJ128" i="20"/>
  <c r="BJ43" i="20"/>
  <c r="BU43" i="20" s="1"/>
  <c r="BJ34" i="20"/>
  <c r="BJ148" i="20"/>
  <c r="BJ41" i="20"/>
  <c r="BJ80" i="20"/>
  <c r="BJ28" i="20"/>
  <c r="BU28" i="20" s="1"/>
  <c r="BJ11" i="20"/>
  <c r="BJ12" i="20" s="1"/>
  <c r="BJ143" i="20"/>
  <c r="BU143" i="20" s="1"/>
  <c r="BK14" i="20"/>
  <c r="BK90" i="20"/>
  <c r="BK86" i="20"/>
  <c r="BK78" i="20"/>
  <c r="BJ138" i="20"/>
  <c r="BU138" i="20" s="1"/>
  <c r="BJ154" i="20"/>
  <c r="BJ117" i="20"/>
  <c r="BJ74" i="20"/>
  <c r="BJ141" i="20"/>
  <c r="BJ150" i="20"/>
  <c r="BU150" i="20" s="1"/>
  <c r="BJ38" i="20"/>
  <c r="BU38" i="20" s="1"/>
  <c r="BJ136" i="20"/>
  <c r="BJ91" i="20"/>
  <c r="BJ130" i="20"/>
  <c r="BJ39" i="20"/>
  <c r="BJ54" i="20"/>
  <c r="BJ15" i="20"/>
  <c r="BQ35" i="20"/>
  <c r="BZ35" i="20" s="1"/>
  <c r="BC109" i="20"/>
  <c r="BM58" i="20"/>
  <c r="BQ58" i="20" s="1"/>
  <c r="BJ68" i="20"/>
  <c r="BJ144" i="20"/>
  <c r="BU144" i="20" s="1"/>
  <c r="AC43" i="23"/>
  <c r="X43" i="23"/>
  <c r="Y43" i="23" s="1"/>
  <c r="BR99" i="20"/>
  <c r="AE107" i="20"/>
  <c r="BO107" i="20" s="1"/>
  <c r="AU107" i="20"/>
  <c r="BJ125" i="20"/>
  <c r="BJ17" i="20"/>
  <c r="BU17" i="20" s="1"/>
  <c r="BJ104" i="20"/>
  <c r="BJ105" i="20" s="1"/>
  <c r="BQ48" i="20"/>
  <c r="BJ32" i="20"/>
  <c r="BK149" i="20"/>
  <c r="AU127" i="20"/>
  <c r="BK95" i="20"/>
  <c r="BK155" i="20"/>
  <c r="BM51" i="20"/>
  <c r="BQ51" i="20" s="1"/>
  <c r="BK105" i="20"/>
  <c r="BI100" i="20"/>
  <c r="BD97" i="23"/>
  <c r="BJ46" i="20"/>
  <c r="BJ23" i="20"/>
  <c r="BJ139" i="20"/>
  <c r="BJ19" i="20"/>
  <c r="BU19" i="20" s="1"/>
  <c r="BJ30" i="20"/>
  <c r="BU30" i="20" s="1"/>
  <c r="BJ20" i="20"/>
  <c r="BJ93" i="20"/>
  <c r="BJ77" i="20"/>
  <c r="BJ78" i="20" s="1"/>
  <c r="BJ153" i="20"/>
  <c r="BJ111" i="20"/>
  <c r="BJ33" i="20"/>
  <c r="BU33" i="20" s="1"/>
  <c r="BJ55" i="20"/>
  <c r="BU55" i="20" s="1"/>
  <c r="BR64" i="20"/>
  <c r="BR65" i="20" s="1"/>
  <c r="BQ133" i="20"/>
  <c r="BV133" i="20" s="1"/>
  <c r="BJ83" i="20"/>
  <c r="BJ151" i="20"/>
  <c r="BJ66" i="20"/>
  <c r="BJ75" i="20"/>
  <c r="BU75" i="20" s="1"/>
  <c r="BQ26" i="20"/>
  <c r="BV26" i="20" s="1"/>
  <c r="CA129" i="20"/>
  <c r="CA49" i="20"/>
  <c r="CA45" i="20"/>
  <c r="BC155" i="20"/>
  <c r="BH110" i="20"/>
  <c r="BM100" i="20"/>
  <c r="BC100" i="20"/>
  <c r="BZ64" i="20"/>
  <c r="BZ65" i="20" s="1"/>
  <c r="BV64" i="20"/>
  <c r="BV65" i="20" s="1"/>
  <c r="BK60" i="20"/>
  <c r="BC132" i="20"/>
  <c r="BO121" i="20"/>
  <c r="BU131" i="20"/>
  <c r="BW131" i="20" s="1"/>
  <c r="BX131" i="20" s="1"/>
  <c r="BY131" i="20" s="1"/>
  <c r="BL103" i="20"/>
  <c r="AC45" i="23"/>
  <c r="X45" i="23"/>
  <c r="Y45" i="23" s="1"/>
  <c r="AU109" i="20"/>
  <c r="AE109" i="20"/>
  <c r="BO109" i="20" s="1"/>
  <c r="BK92" i="20"/>
  <c r="BM91" i="20"/>
  <c r="AW110" i="20"/>
  <c r="AW156" i="20" s="1"/>
  <c r="BA110" i="20"/>
  <c r="S88" i="23"/>
  <c r="N88" i="23"/>
  <c r="O88" i="23" s="1"/>
  <c r="BO76" i="20"/>
  <c r="BA156" i="20"/>
  <c r="BL82" i="20"/>
  <c r="AC87" i="23"/>
  <c r="X87" i="23"/>
  <c r="Y87" i="23" s="1"/>
  <c r="S89" i="23"/>
  <c r="N89" i="23"/>
  <c r="O89" i="23" s="1"/>
  <c r="AZ110" i="20"/>
  <c r="BF110" i="20"/>
  <c r="AX110" i="20"/>
  <c r="AX156" i="20" s="1"/>
  <c r="BC127" i="20"/>
  <c r="AC76" i="23"/>
  <c r="X76" i="23"/>
  <c r="Y76" i="23" s="1"/>
  <c r="BD110" i="20"/>
  <c r="BK108" i="20"/>
  <c r="BL108" i="20"/>
  <c r="BO70" i="20"/>
  <c r="BO155" i="20"/>
  <c r="BN116" i="20"/>
  <c r="BN127" i="20"/>
  <c r="AC51" i="23"/>
  <c r="X51" i="23"/>
  <c r="Y51" i="23" s="1"/>
  <c r="BI92" i="20"/>
  <c r="BL109" i="20"/>
  <c r="BN109" i="20" s="1"/>
  <c r="BK109" i="20"/>
  <c r="BN91" i="20"/>
  <c r="BN92" i="20" s="1"/>
  <c r="BL92" i="20"/>
  <c r="AY110" i="20"/>
  <c r="BG110" i="20"/>
  <c r="AE108" i="20"/>
  <c r="BO108" i="20" s="1"/>
  <c r="AU108" i="20"/>
  <c r="BE110" i="20"/>
  <c r="BE156" i="20" s="1"/>
  <c r="BI155" i="20"/>
  <c r="BI147" i="20"/>
  <c r="BN141" i="20"/>
  <c r="BN147" i="20" s="1"/>
  <c r="BL147" i="20"/>
  <c r="AC107" i="23"/>
  <c r="X107" i="23"/>
  <c r="Y107" i="23" s="1"/>
  <c r="BN122" i="20"/>
  <c r="BN124" i="20" s="1"/>
  <c r="BL124" i="20"/>
  <c r="BN13" i="20"/>
  <c r="BN14" i="20" s="1"/>
  <c r="BL14" i="20"/>
  <c r="BI12" i="20"/>
  <c r="BN136" i="20"/>
  <c r="BN140" i="20" s="1"/>
  <c r="BL140" i="20"/>
  <c r="BK121" i="20"/>
  <c r="BI152" i="20"/>
  <c r="BC76" i="20"/>
  <c r="BI14" i="20"/>
  <c r="BN153" i="20"/>
  <c r="BN155" i="20" s="1"/>
  <c r="BL155" i="20"/>
  <c r="BC147" i="20"/>
  <c r="BN85" i="20"/>
  <c r="BN86" i="20" s="1"/>
  <c r="BL86" i="20"/>
  <c r="BI121" i="20"/>
  <c r="AU147" i="20"/>
  <c r="BN83" i="20"/>
  <c r="BN84" i="20" s="1"/>
  <c r="BL84" i="20"/>
  <c r="AM100" i="23"/>
  <c r="AH100" i="23"/>
  <c r="AI100" i="23" s="1"/>
  <c r="BC103" i="20"/>
  <c r="BN89" i="20"/>
  <c r="BN90" i="20" s="1"/>
  <c r="BL90" i="20"/>
  <c r="BN117" i="20"/>
  <c r="BN121" i="20" s="1"/>
  <c r="BL121" i="20"/>
  <c r="BM63" i="20"/>
  <c r="BK70" i="20"/>
  <c r="AU121" i="20"/>
  <c r="BN104" i="20"/>
  <c r="BN105" i="20" s="1"/>
  <c r="BL105" i="20"/>
  <c r="BK147" i="20"/>
  <c r="BK84" i="20"/>
  <c r="BM83" i="20"/>
  <c r="BM84" i="20" s="1"/>
  <c r="AC72" i="23"/>
  <c r="X72" i="23"/>
  <c r="Y72" i="23" s="1"/>
  <c r="BN135" i="20"/>
  <c r="BI84" i="20"/>
  <c r="BN103" i="20"/>
  <c r="BC135" i="20"/>
  <c r="BL116" i="20"/>
  <c r="BL127" i="20"/>
  <c r="BN82" i="20"/>
  <c r="BN148" i="20"/>
  <c r="BN149" i="20" s="1"/>
  <c r="BL149" i="20"/>
  <c r="BM16" i="20"/>
  <c r="BN93" i="20"/>
  <c r="BN95" i="20" s="1"/>
  <c r="BL95" i="20"/>
  <c r="BC60" i="20"/>
  <c r="BN72" i="20"/>
  <c r="BN76" i="20" s="1"/>
  <c r="BL76" i="20"/>
  <c r="BN68" i="20"/>
  <c r="BN70" i="20" s="1"/>
  <c r="BL70" i="20"/>
  <c r="BN11" i="20"/>
  <c r="BN12" i="20" s="1"/>
  <c r="BL12" i="20"/>
  <c r="BU27" i="20"/>
  <c r="BW27" i="20" s="1"/>
  <c r="BX27" i="20" s="1"/>
  <c r="BY27" i="20" s="1"/>
  <c r="BI70" i="20"/>
  <c r="BK76" i="20"/>
  <c r="BC70" i="20"/>
  <c r="BN66" i="20"/>
  <c r="BN67" i="20" s="1"/>
  <c r="BL67" i="20"/>
  <c r="BC95" i="20"/>
  <c r="BI124" i="20"/>
  <c r="BO140" i="20"/>
  <c r="BI76" i="20"/>
  <c r="BN77" i="20"/>
  <c r="BN78" i="20" s="1"/>
  <c r="BL78" i="20"/>
  <c r="BO147" i="20"/>
  <c r="BN151" i="20"/>
  <c r="BN152" i="20" s="1"/>
  <c r="BL152" i="20"/>
  <c r="BI127" i="20"/>
  <c r="BC121" i="20"/>
  <c r="BI135" i="20"/>
  <c r="AM80" i="23"/>
  <c r="AH80" i="23"/>
  <c r="AI80" i="23" s="1"/>
  <c r="BV81" i="20"/>
  <c r="BZ81" i="20"/>
  <c r="BZ18" i="20"/>
  <c r="BV18" i="20"/>
  <c r="BV99" i="20"/>
  <c r="BZ99" i="20"/>
  <c r="BV23" i="20"/>
  <c r="BZ23" i="20"/>
  <c r="BV94" i="20"/>
  <c r="BZ94" i="20"/>
  <c r="BM89" i="20"/>
  <c r="AC24" i="23"/>
  <c r="X24" i="23"/>
  <c r="Y24" i="23" s="1"/>
  <c r="AC121" i="23"/>
  <c r="X121" i="23"/>
  <c r="Y121" i="23" s="1"/>
  <c r="AC25" i="23"/>
  <c r="X25" i="23"/>
  <c r="Y25" i="23" s="1"/>
  <c r="BM120" i="20"/>
  <c r="BQ120" i="20" s="1"/>
  <c r="AC113" i="23"/>
  <c r="X113" i="23"/>
  <c r="Y113" i="23" s="1"/>
  <c r="BM151" i="20"/>
  <c r="AC75" i="23"/>
  <c r="X75" i="23"/>
  <c r="Y75" i="23" s="1"/>
  <c r="AM57" i="23"/>
  <c r="AH57" i="23"/>
  <c r="AI57" i="23" s="1"/>
  <c r="BM33" i="20"/>
  <c r="BQ33" i="20" s="1"/>
  <c r="AC56" i="23"/>
  <c r="X56" i="23"/>
  <c r="Y56" i="23" s="1"/>
  <c r="BM122" i="20"/>
  <c r="BM28" i="20"/>
  <c r="BQ28" i="20" s="1"/>
  <c r="AC102" i="23"/>
  <c r="X102" i="23"/>
  <c r="Y102" i="23" s="1"/>
  <c r="AM46" i="23"/>
  <c r="AH46" i="23"/>
  <c r="AI46" i="23" s="1"/>
  <c r="AC106" i="23"/>
  <c r="X106" i="23"/>
  <c r="Y106" i="23" s="1"/>
  <c r="BM29" i="20"/>
  <c r="BQ29" i="20" s="1"/>
  <c r="BM136" i="20"/>
  <c r="BM117" i="20"/>
  <c r="BM36" i="20"/>
  <c r="BQ36" i="20" s="1"/>
  <c r="AW60" i="23"/>
  <c r="BB60" i="23" s="1"/>
  <c r="BC60" i="23" s="1"/>
  <c r="AR60" i="23"/>
  <c r="AS60" i="23" s="1"/>
  <c r="AC22" i="23"/>
  <c r="X22" i="23"/>
  <c r="Y22" i="23" s="1"/>
  <c r="AU60" i="20"/>
  <c r="BM68" i="20"/>
  <c r="X68" i="23"/>
  <c r="Y68" i="23" s="1"/>
  <c r="AC68" i="23"/>
  <c r="AC99" i="23"/>
  <c r="X99" i="23"/>
  <c r="Y99" i="23" s="1"/>
  <c r="AC114" i="23"/>
  <c r="X114" i="23"/>
  <c r="Y114" i="23" s="1"/>
  <c r="AM71" i="23"/>
  <c r="AH71" i="23"/>
  <c r="AI71" i="23" s="1"/>
  <c r="AC40" i="23"/>
  <c r="X40" i="23"/>
  <c r="Y40" i="23" s="1"/>
  <c r="BM153" i="20"/>
  <c r="AC123" i="23"/>
  <c r="X123" i="23"/>
  <c r="Y123" i="23" s="1"/>
  <c r="BM85" i="20"/>
  <c r="BM17" i="20"/>
  <c r="BQ17" i="20" s="1"/>
  <c r="BM34" i="20"/>
  <c r="BQ34" i="20" s="1"/>
  <c r="AC12" i="23"/>
  <c r="X12" i="23"/>
  <c r="Y12" i="23" s="1"/>
  <c r="AC39" i="23"/>
  <c r="X39" i="23"/>
  <c r="Y39" i="23" s="1"/>
  <c r="AM34" i="23"/>
  <c r="AH34" i="23"/>
  <c r="AI34" i="23" s="1"/>
  <c r="AC38" i="23"/>
  <c r="X38" i="23"/>
  <c r="Y38" i="23" s="1"/>
  <c r="AC11" i="23"/>
  <c r="X11" i="23"/>
  <c r="Y11" i="23" s="1"/>
  <c r="AC70" i="23"/>
  <c r="X70" i="23"/>
  <c r="Y70" i="23" s="1"/>
  <c r="AC122" i="23"/>
  <c r="X122" i="23"/>
  <c r="Y122" i="23" s="1"/>
  <c r="AC63" i="23"/>
  <c r="X63" i="23"/>
  <c r="Y63" i="23" s="1"/>
  <c r="Y160" i="54"/>
  <c r="AH11" i="20"/>
  <c r="AO11" i="20" s="1"/>
  <c r="BM128" i="20"/>
  <c r="BK132" i="20"/>
  <c r="AC27" i="23"/>
  <c r="X27" i="23"/>
  <c r="Y27" i="23" s="1"/>
  <c r="X41" i="23"/>
  <c r="Y41" i="23" s="1"/>
  <c r="AC41" i="23"/>
  <c r="AC98" i="23"/>
  <c r="X98" i="23"/>
  <c r="Y98" i="23" s="1"/>
  <c r="BM143" i="20"/>
  <c r="BQ143" i="20" s="1"/>
  <c r="BM93" i="20"/>
  <c r="BM95" i="20" s="1"/>
  <c r="BM37" i="20"/>
  <c r="BQ37" i="20" s="1"/>
  <c r="AR21" i="23"/>
  <c r="AS21" i="23" s="1"/>
  <c r="AW21" i="23"/>
  <c r="BB21" i="23" s="1"/>
  <c r="BC21" i="23" s="1"/>
  <c r="BM75" i="20"/>
  <c r="BQ75" i="20" s="1"/>
  <c r="BV113" i="20"/>
  <c r="BZ113" i="20"/>
  <c r="BM69" i="20"/>
  <c r="BQ69" i="20" s="1"/>
  <c r="AR96" i="23"/>
  <c r="AS96" i="23" s="1"/>
  <c r="AW96" i="23"/>
  <c r="BB96" i="23" s="1"/>
  <c r="BC96" i="23" s="1"/>
  <c r="AC29" i="23"/>
  <c r="X29" i="23"/>
  <c r="Y29" i="23" s="1"/>
  <c r="AH81" i="23"/>
  <c r="AI81" i="23" s="1"/>
  <c r="AM81" i="23"/>
  <c r="BM72" i="20"/>
  <c r="BO60" i="20"/>
  <c r="AC17" i="23"/>
  <c r="X17" i="23"/>
  <c r="Y17" i="23" s="1"/>
  <c r="AC30" i="23"/>
  <c r="X30" i="23"/>
  <c r="Y30" i="23" s="1"/>
  <c r="AC118" i="23"/>
  <c r="X118" i="23"/>
  <c r="Y118" i="23" s="1"/>
  <c r="AC108" i="23"/>
  <c r="X108" i="23"/>
  <c r="Y108" i="23" s="1"/>
  <c r="BM32" i="20"/>
  <c r="BQ32" i="20" s="1"/>
  <c r="BM144" i="20"/>
  <c r="BQ144" i="20" s="1"/>
  <c r="AM26" i="23"/>
  <c r="AH26" i="23"/>
  <c r="AI26" i="23" s="1"/>
  <c r="AH93" i="23"/>
  <c r="AI93" i="23" s="1"/>
  <c r="AM93" i="23"/>
  <c r="AC18" i="23"/>
  <c r="X18" i="23"/>
  <c r="Y18" i="23" s="1"/>
  <c r="BV53" i="20"/>
  <c r="BZ53" i="20"/>
  <c r="BM126" i="20"/>
  <c r="BM115" i="20"/>
  <c r="BQ115" i="20" s="1"/>
  <c r="AC85" i="23"/>
  <c r="X85" i="23"/>
  <c r="Y85" i="23" s="1"/>
  <c r="BM40" i="20"/>
  <c r="BQ40" i="20" s="1"/>
  <c r="BM11" i="20"/>
  <c r="BM12" i="20" s="1"/>
  <c r="AR111" i="23"/>
  <c r="AS111" i="23" s="1"/>
  <c r="AW111" i="23"/>
  <c r="BB111" i="23" s="1"/>
  <c r="BC111" i="23" s="1"/>
  <c r="BL60" i="20"/>
  <c r="BM77" i="20"/>
  <c r="BM141" i="20"/>
  <c r="AM83" i="23"/>
  <c r="AH83" i="23"/>
  <c r="AI83" i="23" s="1"/>
  <c r="AC105" i="23"/>
  <c r="X105" i="23"/>
  <c r="Y105" i="23" s="1"/>
  <c r="BM25" i="20"/>
  <c r="BQ25" i="20" s="1"/>
  <c r="BM130" i="20"/>
  <c r="BQ130" i="20" s="1"/>
  <c r="BM146" i="20"/>
  <c r="BQ146" i="20" s="1"/>
  <c r="BM102" i="20"/>
  <c r="BQ102" i="20" s="1"/>
  <c r="AM101" i="23"/>
  <c r="AH101" i="23"/>
  <c r="AI101" i="23" s="1"/>
  <c r="BU99" i="20"/>
  <c r="BM39" i="20"/>
  <c r="BQ39" i="20" s="1"/>
  <c r="BM41" i="20"/>
  <c r="BQ41" i="20" s="1"/>
  <c r="AC16" i="23"/>
  <c r="X16" i="23"/>
  <c r="Y16" i="23" s="1"/>
  <c r="AC33" i="23"/>
  <c r="X33" i="23"/>
  <c r="Y33" i="23" s="1"/>
  <c r="BM30" i="20"/>
  <c r="BQ30" i="20" s="1"/>
  <c r="AC36" i="23"/>
  <c r="X36" i="23"/>
  <c r="Y36" i="23" s="1"/>
  <c r="AU132" i="20"/>
  <c r="BV118" i="20"/>
  <c r="BZ118" i="20"/>
  <c r="AC14" i="23"/>
  <c r="X14" i="23"/>
  <c r="Y14" i="23" s="1"/>
  <c r="BM19" i="20"/>
  <c r="BQ19" i="20" s="1"/>
  <c r="BM148" i="20"/>
  <c r="AC112" i="23"/>
  <c r="X112" i="23"/>
  <c r="Y112" i="23" s="1"/>
  <c r="BN128" i="20"/>
  <c r="BN132" i="20" s="1"/>
  <c r="BL132" i="20"/>
  <c r="BI60" i="20"/>
  <c r="AC31" i="23"/>
  <c r="X31" i="23"/>
  <c r="Y31" i="23" s="1"/>
  <c r="BM13" i="20"/>
  <c r="BM20" i="20"/>
  <c r="BQ20" i="20" s="1"/>
  <c r="BM59" i="20"/>
  <c r="BQ59" i="20" s="1"/>
  <c r="BM134" i="20"/>
  <c r="BQ134" i="20" s="1"/>
  <c r="BM142" i="20"/>
  <c r="BQ142" i="20" s="1"/>
  <c r="AC84" i="23"/>
  <c r="X84" i="23"/>
  <c r="Y84" i="23" s="1"/>
  <c r="AC94" i="23"/>
  <c r="X94" i="23"/>
  <c r="Y94" i="23" s="1"/>
  <c r="BM43" i="20"/>
  <c r="BQ43" i="20" s="1"/>
  <c r="AC62" i="23"/>
  <c r="X62" i="23"/>
  <c r="Y62" i="23" s="1"/>
  <c r="AU76" i="20"/>
  <c r="BM38" i="20"/>
  <c r="BQ38" i="20" s="1"/>
  <c r="AC116" i="23"/>
  <c r="X116" i="23"/>
  <c r="Y116" i="23" s="1"/>
  <c r="AC66" i="23"/>
  <c r="X66" i="23"/>
  <c r="Y66" i="23" s="1"/>
  <c r="AC37" i="23"/>
  <c r="X37" i="23"/>
  <c r="Y37" i="23" s="1"/>
  <c r="BI132" i="20"/>
  <c r="BM66" i="20"/>
  <c r="AC77" i="23"/>
  <c r="X77" i="23"/>
  <c r="Y77" i="23" s="1"/>
  <c r="BM80" i="20"/>
  <c r="BQ80" i="20" s="1"/>
  <c r="AC67" i="23"/>
  <c r="X67" i="23"/>
  <c r="Y67" i="23" s="1"/>
  <c r="BM154" i="20"/>
  <c r="BQ154" i="20" s="1"/>
  <c r="AC115" i="23"/>
  <c r="X115" i="23"/>
  <c r="Y115" i="23" s="1"/>
  <c r="BM139" i="20"/>
  <c r="BQ139" i="20" s="1"/>
  <c r="AC95" i="23"/>
  <c r="X95" i="23"/>
  <c r="Y95" i="23" s="1"/>
  <c r="AR119" i="23"/>
  <c r="AS119" i="23" s="1"/>
  <c r="AW119" i="23"/>
  <c r="BB119" i="23" s="1"/>
  <c r="BC119" i="23" s="1"/>
  <c r="BD117" i="23"/>
  <c r="AC35" i="23"/>
  <c r="X35" i="23"/>
  <c r="Y35" i="23" s="1"/>
  <c r="BM44" i="20"/>
  <c r="BQ44" i="20" s="1"/>
  <c r="AC64" i="23"/>
  <c r="X64" i="23"/>
  <c r="Y64" i="23" s="1"/>
  <c r="BM104" i="20"/>
  <c r="AC73" i="23"/>
  <c r="X73" i="23"/>
  <c r="Y73" i="23" s="1"/>
  <c r="AC61" i="23"/>
  <c r="X61" i="23"/>
  <c r="Y61" i="23" s="1"/>
  <c r="BN60" i="20"/>
  <c r="BM42" i="20"/>
  <c r="BQ42" i="20" s="1"/>
  <c r="AC103" i="23"/>
  <c r="X103" i="23"/>
  <c r="Y103" i="23" s="1"/>
  <c r="BM74" i="20"/>
  <c r="BQ74" i="20" s="1"/>
  <c r="AC109" i="23"/>
  <c r="X109" i="23"/>
  <c r="Y109" i="23" s="1"/>
  <c r="BU118" i="20" l="1"/>
  <c r="BF156" i="20"/>
  <c r="BV62" i="20"/>
  <c r="BB156" i="20"/>
  <c r="BV123" i="20"/>
  <c r="BW123" i="20" s="1"/>
  <c r="BX123" i="20" s="1"/>
  <c r="BY123" i="20" s="1"/>
  <c r="BJ65" i="20"/>
  <c r="BU113" i="20"/>
  <c r="BW113" i="20" s="1"/>
  <c r="BX113" i="20" s="1"/>
  <c r="BY113" i="20" s="1"/>
  <c r="CA113" i="20" s="1"/>
  <c r="BJ115" i="20"/>
  <c r="BR115" i="20" s="1"/>
  <c r="AW59" i="23"/>
  <c r="BB59" i="23" s="1"/>
  <c r="BC59" i="23" s="1"/>
  <c r="AR59" i="23"/>
  <c r="AS59" i="23" s="1"/>
  <c r="AY156" i="20"/>
  <c r="BR53" i="20"/>
  <c r="BR47" i="20"/>
  <c r="BW53" i="20"/>
  <c r="BX53" i="20" s="1"/>
  <c r="BY53" i="20" s="1"/>
  <c r="CA53" i="20" s="1"/>
  <c r="AU116" i="20"/>
  <c r="BI116" i="20"/>
  <c r="BW81" i="20"/>
  <c r="BX81" i="20" s="1"/>
  <c r="BY81" i="20" s="1"/>
  <c r="CA81" i="20" s="1"/>
  <c r="BV73" i="20"/>
  <c r="BW73" i="20" s="1"/>
  <c r="BX73" i="20" s="1"/>
  <c r="BY73" i="20" s="1"/>
  <c r="BZ50" i="20"/>
  <c r="BZ97" i="20"/>
  <c r="BZ100" i="20" s="1"/>
  <c r="BR97" i="20"/>
  <c r="BR50" i="20"/>
  <c r="BC116" i="20"/>
  <c r="BQ137" i="20"/>
  <c r="BV137" i="20" s="1"/>
  <c r="BR22" i="20"/>
  <c r="BZ145" i="20"/>
  <c r="BK140" i="20"/>
  <c r="BD110" i="23"/>
  <c r="BW94" i="20"/>
  <c r="BX94" i="20" s="1"/>
  <c r="BY94" i="20" s="1"/>
  <c r="CA94" i="20" s="1"/>
  <c r="BR42" i="20"/>
  <c r="BR94" i="20"/>
  <c r="BZ47" i="20"/>
  <c r="BG156" i="20"/>
  <c r="BR120" i="20"/>
  <c r="BJ95" i="20"/>
  <c r="BQ87" i="20"/>
  <c r="BV87" i="20" s="1"/>
  <c r="BW87" i="20" s="1"/>
  <c r="BZ46" i="20"/>
  <c r="BR123" i="20"/>
  <c r="BZ150" i="20"/>
  <c r="BZ56" i="20"/>
  <c r="CA56" i="20" s="1"/>
  <c r="BR56" i="20"/>
  <c r="BM114" i="20"/>
  <c r="BQ114" i="20" s="1"/>
  <c r="BV114" i="20" s="1"/>
  <c r="BU97" i="20"/>
  <c r="BW97" i="20" s="1"/>
  <c r="BX97" i="20" s="1"/>
  <c r="BY97" i="20" s="1"/>
  <c r="BR106" i="20"/>
  <c r="BR57" i="20"/>
  <c r="BR112" i="20"/>
  <c r="BV47" i="20"/>
  <c r="BW47" i="20" s="1"/>
  <c r="BX47" i="20" s="1"/>
  <c r="BY47" i="20" s="1"/>
  <c r="AZ156" i="20"/>
  <c r="BW150" i="20"/>
  <c r="BX150" i="20" s="1"/>
  <c r="BY150" i="20" s="1"/>
  <c r="BJ107" i="20"/>
  <c r="BU107" i="20" s="1"/>
  <c r="AM78" i="23"/>
  <c r="AR78" i="23" s="1"/>
  <c r="AS78" i="23" s="1"/>
  <c r="BR24" i="20"/>
  <c r="BW145" i="20"/>
  <c r="BX145" i="20" s="1"/>
  <c r="BY145" i="20" s="1"/>
  <c r="BJ103" i="20"/>
  <c r="BZ24" i="20"/>
  <c r="BR36" i="20"/>
  <c r="BJ124" i="20"/>
  <c r="BQ61" i="20"/>
  <c r="BV61" i="20" s="1"/>
  <c r="BV24" i="20"/>
  <c r="BW24" i="20" s="1"/>
  <c r="BX24" i="20" s="1"/>
  <c r="BY24" i="20" s="1"/>
  <c r="CA24" i="20" s="1"/>
  <c r="BV138" i="20"/>
  <c r="BW138" i="20" s="1"/>
  <c r="BX138" i="20" s="1"/>
  <c r="BY138" i="20" s="1"/>
  <c r="BR69" i="20"/>
  <c r="BR134" i="20"/>
  <c r="BW62" i="20"/>
  <c r="BX62" i="20" s="1"/>
  <c r="BY62" i="20" s="1"/>
  <c r="CA62" i="20" s="1"/>
  <c r="BU63" i="20"/>
  <c r="BZ73" i="20"/>
  <c r="BD156" i="20"/>
  <c r="BR145" i="20"/>
  <c r="BR62" i="20"/>
  <c r="BJ100" i="20"/>
  <c r="BR18" i="20"/>
  <c r="BD79" i="23"/>
  <c r="BZ57" i="20"/>
  <c r="BW18" i="20"/>
  <c r="BX18" i="20" s="1"/>
  <c r="BY18" i="20" s="1"/>
  <c r="CA18" i="20" s="1"/>
  <c r="BQ63" i="20"/>
  <c r="BH156" i="20"/>
  <c r="BJ137" i="20"/>
  <c r="BR137" i="20" s="1"/>
  <c r="BJ63" i="20"/>
  <c r="BR98" i="20"/>
  <c r="BQ13" i="20"/>
  <c r="BQ14" i="20" s="1"/>
  <c r="BV52" i="20"/>
  <c r="BW52" i="20" s="1"/>
  <c r="BX52" i="20" s="1"/>
  <c r="BY52" i="20" s="1"/>
  <c r="BR81" i="20"/>
  <c r="BJ114" i="20"/>
  <c r="BU114" i="20" s="1"/>
  <c r="BR52" i="20"/>
  <c r="BV98" i="20"/>
  <c r="BW98" i="20" s="1"/>
  <c r="BX98" i="20" s="1"/>
  <c r="BY98" i="20" s="1"/>
  <c r="BJ88" i="20"/>
  <c r="BR59" i="20"/>
  <c r="BR25" i="20"/>
  <c r="BQ100" i="20"/>
  <c r="BR101" i="20"/>
  <c r="BQ117" i="20"/>
  <c r="BQ121" i="20" s="1"/>
  <c r="BZ22" i="20"/>
  <c r="BW55" i="20"/>
  <c r="BX55" i="20" s="1"/>
  <c r="BY55" i="20" s="1"/>
  <c r="CA55" i="20" s="1"/>
  <c r="BR146" i="20"/>
  <c r="AM49" i="23"/>
  <c r="AH49" i="23"/>
  <c r="AI49" i="23" s="1"/>
  <c r="BU96" i="20"/>
  <c r="BV112" i="20"/>
  <c r="BW112" i="20" s="1"/>
  <c r="BX112" i="20" s="1"/>
  <c r="BY112" i="20" s="1"/>
  <c r="AR86" i="23"/>
  <c r="AS86" i="23" s="1"/>
  <c r="BD86" i="23" s="1"/>
  <c r="BV125" i="20"/>
  <c r="BQ128" i="20"/>
  <c r="BR128" i="20" s="1"/>
  <c r="BR96" i="20"/>
  <c r="BR79" i="20"/>
  <c r="BR119" i="20"/>
  <c r="BQ107" i="20"/>
  <c r="BZ107" i="20" s="1"/>
  <c r="BQ141" i="20"/>
  <c r="BQ147" i="20" s="1"/>
  <c r="BU50" i="20"/>
  <c r="BW50" i="20" s="1"/>
  <c r="BX50" i="20" s="1"/>
  <c r="BY50" i="20" s="1"/>
  <c r="BZ112" i="20"/>
  <c r="BQ89" i="20"/>
  <c r="BR89" i="20" s="1"/>
  <c r="BZ54" i="20"/>
  <c r="BQ136" i="20"/>
  <c r="BR136" i="20" s="1"/>
  <c r="BV101" i="20"/>
  <c r="BW101" i="20" s="1"/>
  <c r="BZ79" i="20"/>
  <c r="BR35" i="20"/>
  <c r="BR48" i="20"/>
  <c r="BR31" i="20"/>
  <c r="BQ85" i="20"/>
  <c r="BQ86" i="20" s="1"/>
  <c r="BR142" i="20"/>
  <c r="BV35" i="20"/>
  <c r="BW35" i="20" s="1"/>
  <c r="BX35" i="20" s="1"/>
  <c r="BY35" i="20" s="1"/>
  <c r="BV31" i="20"/>
  <c r="BW31" i="20" s="1"/>
  <c r="BX31" i="20" s="1"/>
  <c r="BY31" i="20" s="1"/>
  <c r="CA31" i="20" s="1"/>
  <c r="BV57" i="20"/>
  <c r="BW57" i="20" s="1"/>
  <c r="BX57" i="20" s="1"/>
  <c r="BY57" i="20" s="1"/>
  <c r="BR102" i="20"/>
  <c r="BQ72" i="20"/>
  <c r="BQ76" i="20" s="1"/>
  <c r="BZ119" i="20"/>
  <c r="BR133" i="20"/>
  <c r="BR26" i="20"/>
  <c r="BD58" i="23"/>
  <c r="BQ91" i="20"/>
  <c r="BR91" i="20" s="1"/>
  <c r="BQ77" i="20"/>
  <c r="BZ77" i="20" s="1"/>
  <c r="BZ78" i="20" s="1"/>
  <c r="BD111" i="23"/>
  <c r="BQ68" i="20"/>
  <c r="BQ70" i="20" s="1"/>
  <c r="AU110" i="20"/>
  <c r="BQ66" i="20"/>
  <c r="BZ66" i="20" s="1"/>
  <c r="BZ67" i="20" s="1"/>
  <c r="BQ122" i="20"/>
  <c r="BR122" i="20" s="1"/>
  <c r="BZ26" i="20"/>
  <c r="BV51" i="20"/>
  <c r="BW51" i="20" s="1"/>
  <c r="BX51" i="20" s="1"/>
  <c r="BY51" i="20" s="1"/>
  <c r="BR51" i="20"/>
  <c r="BZ51" i="20"/>
  <c r="BR58" i="20"/>
  <c r="BV58" i="20"/>
  <c r="BW58" i="20" s="1"/>
  <c r="BX58" i="20" s="1"/>
  <c r="BY58" i="20" s="1"/>
  <c r="BZ58" i="20"/>
  <c r="BR111" i="20"/>
  <c r="BU111" i="20"/>
  <c r="BW111" i="20" s="1"/>
  <c r="BR30" i="20"/>
  <c r="BR46" i="20"/>
  <c r="BU46" i="20"/>
  <c r="BW46" i="20" s="1"/>
  <c r="BX46" i="20" s="1"/>
  <c r="BY46" i="20" s="1"/>
  <c r="BQ153" i="20"/>
  <c r="BR153" i="20" s="1"/>
  <c r="BQ93" i="20"/>
  <c r="BR93" i="20" s="1"/>
  <c r="BR125" i="20"/>
  <c r="AM43" i="23"/>
  <c r="AH43" i="23"/>
  <c r="AI43" i="23" s="1"/>
  <c r="BR54" i="20"/>
  <c r="BR80" i="20"/>
  <c r="BR34" i="20"/>
  <c r="BR44" i="20"/>
  <c r="BQ151" i="20"/>
  <c r="BZ151" i="20" s="1"/>
  <c r="BU54" i="20"/>
  <c r="BW54" i="20" s="1"/>
  <c r="BX54" i="20" s="1"/>
  <c r="BY54" i="20" s="1"/>
  <c r="BU44" i="20"/>
  <c r="BU34" i="20"/>
  <c r="BU151" i="20"/>
  <c r="BU152" i="20" s="1"/>
  <c r="BO110" i="20"/>
  <c r="BO156" i="20" s="1"/>
  <c r="BR75" i="20"/>
  <c r="BR33" i="20"/>
  <c r="BR19" i="20"/>
  <c r="BQ83" i="20"/>
  <c r="BR83" i="20" s="1"/>
  <c r="BR84" i="20" s="1"/>
  <c r="BR144" i="20"/>
  <c r="BR39" i="20"/>
  <c r="BR154" i="20"/>
  <c r="BR143" i="20"/>
  <c r="BR29" i="20"/>
  <c r="BQ126" i="20"/>
  <c r="BR126" i="20" s="1"/>
  <c r="BM108" i="20"/>
  <c r="BR20" i="20"/>
  <c r="BR23" i="20"/>
  <c r="BU23" i="20"/>
  <c r="BW23" i="20" s="1"/>
  <c r="BX23" i="20" s="1"/>
  <c r="BY23" i="20" s="1"/>
  <c r="CA23" i="20" s="1"/>
  <c r="BQ104" i="20"/>
  <c r="BQ105" i="20" s="1"/>
  <c r="BR32" i="20"/>
  <c r="BR17" i="20"/>
  <c r="BJ70" i="20"/>
  <c r="BR15" i="20"/>
  <c r="BR16" i="20" s="1"/>
  <c r="BJ16" i="20"/>
  <c r="BR150" i="20"/>
  <c r="BR74" i="20"/>
  <c r="BR28" i="20"/>
  <c r="BR40" i="20"/>
  <c r="BJ67" i="20"/>
  <c r="BU15" i="20"/>
  <c r="BU16" i="20" s="1"/>
  <c r="BQ148" i="20"/>
  <c r="BR148" i="20" s="1"/>
  <c r="BR149" i="20" s="1"/>
  <c r="BR37" i="20"/>
  <c r="BJ109" i="20"/>
  <c r="BZ48" i="20"/>
  <c r="BV48" i="20"/>
  <c r="BW48" i="20" s="1"/>
  <c r="BX48" i="20" s="1"/>
  <c r="BY48" i="20" s="1"/>
  <c r="BJ82" i="20"/>
  <c r="BJ149" i="20"/>
  <c r="BU37" i="20"/>
  <c r="BU117" i="20"/>
  <c r="BM109" i="20"/>
  <c r="BQ109" i="20" s="1"/>
  <c r="O124" i="23"/>
  <c r="BR55" i="20"/>
  <c r="BR139" i="20"/>
  <c r="BR130" i="20"/>
  <c r="BR38" i="20"/>
  <c r="BR138" i="20"/>
  <c r="BR41" i="20"/>
  <c r="BR43" i="20"/>
  <c r="BJ108" i="20"/>
  <c r="BQ11" i="20"/>
  <c r="BR11" i="20" s="1"/>
  <c r="BR12" i="20" s="1"/>
  <c r="CA131" i="20"/>
  <c r="CA27" i="20"/>
  <c r="BW64" i="20"/>
  <c r="BW65" i="20" s="1"/>
  <c r="BU102" i="20"/>
  <c r="BU103" i="20" s="1"/>
  <c r="BU13" i="20"/>
  <c r="BU14" i="20" s="1"/>
  <c r="BJ152" i="20"/>
  <c r="BZ133" i="20"/>
  <c r="BW119" i="20"/>
  <c r="BX119" i="20" s="1"/>
  <c r="BY119" i="20" s="1"/>
  <c r="BV96" i="20"/>
  <c r="BU93" i="20"/>
  <c r="BU95" i="20" s="1"/>
  <c r="BV22" i="20"/>
  <c r="BW22" i="20" s="1"/>
  <c r="BX22" i="20" s="1"/>
  <c r="BY22" i="20" s="1"/>
  <c r="BZ15" i="20"/>
  <c r="BZ16" i="20" s="1"/>
  <c r="BV15" i="20"/>
  <c r="BV16" i="20" s="1"/>
  <c r="BQ82" i="20"/>
  <c r="BN108" i="20"/>
  <c r="BN110" i="20" s="1"/>
  <c r="BL110" i="20"/>
  <c r="BL156" i="20" s="1"/>
  <c r="AM45" i="23"/>
  <c r="AH45" i="23"/>
  <c r="AI45" i="23" s="1"/>
  <c r="AM51" i="23"/>
  <c r="AH51" i="23"/>
  <c r="AI51" i="23" s="1"/>
  <c r="AM76" i="23"/>
  <c r="AH76" i="23"/>
  <c r="AI76" i="23" s="1"/>
  <c r="AC89" i="23"/>
  <c r="X89" i="23"/>
  <c r="Y89" i="23" s="1"/>
  <c r="BC110" i="20"/>
  <c r="BK110" i="20"/>
  <c r="BM140" i="20"/>
  <c r="BM127" i="20"/>
  <c r="BJ92" i="20"/>
  <c r="BU91" i="20"/>
  <c r="BU92" i="20" s="1"/>
  <c r="BI110" i="20"/>
  <c r="AM87" i="23"/>
  <c r="AH87" i="23"/>
  <c r="AI87" i="23" s="1"/>
  <c r="AC88" i="23"/>
  <c r="X88" i="23"/>
  <c r="Y88" i="23" s="1"/>
  <c r="BM92" i="20"/>
  <c r="BM67" i="20"/>
  <c r="BM149" i="20"/>
  <c r="BU11" i="20"/>
  <c r="AH12" i="20"/>
  <c r="AH156" i="20" s="1"/>
  <c r="BM121" i="20"/>
  <c r="BM105" i="20"/>
  <c r="BM14" i="20"/>
  <c r="BU136" i="20"/>
  <c r="BW99" i="20"/>
  <c r="BX99" i="20" s="1"/>
  <c r="BY99" i="20" s="1"/>
  <c r="BM147" i="20"/>
  <c r="BZ106" i="20"/>
  <c r="BU122" i="20"/>
  <c r="BU124" i="20" s="1"/>
  <c r="BM76" i="20"/>
  <c r="BJ147" i="20"/>
  <c r="BM86" i="20"/>
  <c r="BW118" i="20"/>
  <c r="BX118" i="20" s="1"/>
  <c r="BY118" i="20" s="1"/>
  <c r="BU77" i="20"/>
  <c r="BU78" i="20" s="1"/>
  <c r="BZ111" i="20"/>
  <c r="BJ127" i="20"/>
  <c r="BU125" i="20"/>
  <c r="BM103" i="20"/>
  <c r="BJ84" i="20"/>
  <c r="BU83" i="20"/>
  <c r="AH72" i="23"/>
  <c r="AI72" i="23" s="1"/>
  <c r="AM72" i="23"/>
  <c r="BJ121" i="20"/>
  <c r="AM107" i="23"/>
  <c r="AH107" i="23"/>
  <c r="AI107" i="23" s="1"/>
  <c r="BM60" i="20"/>
  <c r="BV106" i="20"/>
  <c r="BW106" i="20" s="1"/>
  <c r="BM132" i="20"/>
  <c r="BM70" i="20"/>
  <c r="BJ155" i="20"/>
  <c r="BM152" i="20"/>
  <c r="BV79" i="20"/>
  <c r="AW80" i="23"/>
  <c r="BB80" i="23" s="1"/>
  <c r="BC80" i="23" s="1"/>
  <c r="AR80" i="23"/>
  <c r="AS80" i="23" s="1"/>
  <c r="BQ103" i="20"/>
  <c r="BM78" i="20"/>
  <c r="BM155" i="20"/>
  <c r="BM124" i="20"/>
  <c r="BM90" i="20"/>
  <c r="BU133" i="20"/>
  <c r="BJ135" i="20"/>
  <c r="BQ135" i="20"/>
  <c r="BM82" i="20"/>
  <c r="AW100" i="23"/>
  <c r="BB100" i="23" s="1"/>
  <c r="BC100" i="23" s="1"/>
  <c r="AR100" i="23"/>
  <c r="AS100" i="23" s="1"/>
  <c r="BM135" i="20"/>
  <c r="BD60" i="23"/>
  <c r="BD96" i="23"/>
  <c r="BZ17" i="20"/>
  <c r="BV17" i="20"/>
  <c r="BW17" i="20" s="1"/>
  <c r="BX17" i="20" s="1"/>
  <c r="BY17" i="20" s="1"/>
  <c r="BV74" i="20"/>
  <c r="BZ74" i="20"/>
  <c r="BV80" i="20"/>
  <c r="BZ80" i="20"/>
  <c r="BZ29" i="20"/>
  <c r="BV29" i="20"/>
  <c r="BW29" i="20" s="1"/>
  <c r="BX29" i="20" s="1"/>
  <c r="BY29" i="20" s="1"/>
  <c r="BV134" i="20"/>
  <c r="BV135" i="20" s="1"/>
  <c r="BZ134" i="20"/>
  <c r="BV59" i="20"/>
  <c r="BZ59" i="20"/>
  <c r="BV146" i="20"/>
  <c r="BZ146" i="20"/>
  <c r="BV154" i="20"/>
  <c r="BZ154" i="20"/>
  <c r="BZ42" i="20"/>
  <c r="BV42" i="20"/>
  <c r="BW42" i="20" s="1"/>
  <c r="BX42" i="20" s="1"/>
  <c r="BY42" i="20" s="1"/>
  <c r="BZ20" i="20"/>
  <c r="BV20" i="20"/>
  <c r="BZ32" i="20"/>
  <c r="BV32" i="20"/>
  <c r="BZ143" i="20"/>
  <c r="BV143" i="20"/>
  <c r="BW143" i="20" s="1"/>
  <c r="BX143" i="20" s="1"/>
  <c r="BY143" i="20" s="1"/>
  <c r="BZ28" i="20"/>
  <c r="BV28" i="20"/>
  <c r="BW28" i="20" s="1"/>
  <c r="BX28" i="20" s="1"/>
  <c r="BY28" i="20" s="1"/>
  <c r="AR57" i="23"/>
  <c r="AS57" i="23" s="1"/>
  <c r="AW57" i="23"/>
  <c r="BB57" i="23" s="1"/>
  <c r="BC57" i="23" s="1"/>
  <c r="AM113" i="23"/>
  <c r="AH113" i="23"/>
  <c r="AI113" i="23" s="1"/>
  <c r="AH25" i="23"/>
  <c r="AI25" i="23" s="1"/>
  <c r="AM25" i="23"/>
  <c r="AM24" i="23"/>
  <c r="AH24" i="23"/>
  <c r="AI24" i="23" s="1"/>
  <c r="AM61" i="23"/>
  <c r="AH61" i="23"/>
  <c r="AI61" i="23" s="1"/>
  <c r="BD119" i="23"/>
  <c r="BU130" i="20"/>
  <c r="AM37" i="23"/>
  <c r="AH37" i="23"/>
  <c r="AI37" i="23" s="1"/>
  <c r="AM116" i="23"/>
  <c r="AH116" i="23"/>
  <c r="AI116" i="23" s="1"/>
  <c r="BU32" i="20"/>
  <c r="AH62" i="23"/>
  <c r="AI62" i="23" s="1"/>
  <c r="AM62" i="23"/>
  <c r="AM84" i="23"/>
  <c r="AH84" i="23"/>
  <c r="AI84" i="23" s="1"/>
  <c r="AM31" i="23"/>
  <c r="AH31" i="23"/>
  <c r="AI31" i="23" s="1"/>
  <c r="AM16" i="23"/>
  <c r="AH16" i="23"/>
  <c r="AI16" i="23" s="1"/>
  <c r="AH105" i="23"/>
  <c r="AI105" i="23" s="1"/>
  <c r="AM105" i="23"/>
  <c r="AM85" i="23"/>
  <c r="AH85" i="23"/>
  <c r="AI85" i="23" s="1"/>
  <c r="AM18" i="23"/>
  <c r="AH18" i="23"/>
  <c r="AI18" i="23" s="1"/>
  <c r="BZ21" i="20"/>
  <c r="BV21" i="20"/>
  <c r="BQ60" i="20"/>
  <c r="BU59" i="20"/>
  <c r="BU126" i="20"/>
  <c r="BU80" i="20"/>
  <c r="AM63" i="23"/>
  <c r="AH63" i="23"/>
  <c r="AI63" i="23" s="1"/>
  <c r="AM70" i="23"/>
  <c r="AH70" i="23"/>
  <c r="AI70" i="23" s="1"/>
  <c r="AW34" i="23"/>
  <c r="BB34" i="23" s="1"/>
  <c r="BC34" i="23" s="1"/>
  <c r="AR34" i="23"/>
  <c r="AS34" i="23" s="1"/>
  <c r="BU36" i="20"/>
  <c r="AH123" i="23"/>
  <c r="AI123" i="23" s="1"/>
  <c r="AM123" i="23"/>
  <c r="AM40" i="23"/>
  <c r="AH40" i="23"/>
  <c r="AI40" i="23" s="1"/>
  <c r="AM114" i="23"/>
  <c r="AH114" i="23"/>
  <c r="AI114" i="23" s="1"/>
  <c r="BU104" i="20"/>
  <c r="AM102" i="23"/>
  <c r="AH102" i="23"/>
  <c r="AI102" i="23" s="1"/>
  <c r="BU20" i="20"/>
  <c r="AM103" i="23"/>
  <c r="AH103" i="23"/>
  <c r="AI103" i="23" s="1"/>
  <c r="BV44" i="20"/>
  <c r="BZ44" i="20"/>
  <c r="AM35" i="23"/>
  <c r="AH35" i="23"/>
  <c r="AI35" i="23" s="1"/>
  <c r="AM95" i="23"/>
  <c r="AH95" i="23"/>
  <c r="AI95" i="23" s="1"/>
  <c r="AM115" i="23"/>
  <c r="AH115" i="23"/>
  <c r="AI115" i="23" s="1"/>
  <c r="BU146" i="20"/>
  <c r="BZ38" i="20"/>
  <c r="BV38" i="20"/>
  <c r="BW38" i="20" s="1"/>
  <c r="BX38" i="20" s="1"/>
  <c r="BY38" i="20" s="1"/>
  <c r="AH118" i="23"/>
  <c r="AI118" i="23" s="1"/>
  <c r="AM118" i="23"/>
  <c r="AM11" i="23"/>
  <c r="AH11" i="23"/>
  <c r="AI11" i="23" s="1"/>
  <c r="BU141" i="20"/>
  <c r="AM12" i="23"/>
  <c r="AH12" i="23"/>
  <c r="AI12" i="23" s="1"/>
  <c r="AM22" i="23"/>
  <c r="AH22" i="23"/>
  <c r="AI22" i="23" s="1"/>
  <c r="AM56" i="23"/>
  <c r="AH56" i="23"/>
  <c r="AI56" i="23" s="1"/>
  <c r="AM64" i="23"/>
  <c r="AH64" i="23"/>
  <c r="AI64" i="23" s="1"/>
  <c r="BV139" i="20"/>
  <c r="BZ139" i="20"/>
  <c r="AM67" i="23"/>
  <c r="AH67" i="23"/>
  <c r="AI67" i="23" s="1"/>
  <c r="AM77" i="23"/>
  <c r="AH77" i="23"/>
  <c r="AI77" i="23" s="1"/>
  <c r="BJ132" i="20"/>
  <c r="BU128" i="20"/>
  <c r="BU40" i="20"/>
  <c r="BU139" i="20"/>
  <c r="AH14" i="23"/>
  <c r="AI14" i="23" s="1"/>
  <c r="AM14" i="23"/>
  <c r="AM33" i="23"/>
  <c r="AH33" i="23"/>
  <c r="AI33" i="23" s="1"/>
  <c r="BZ41" i="20"/>
  <c r="BV41" i="20"/>
  <c r="BU74" i="20"/>
  <c r="BW26" i="20"/>
  <c r="BX26" i="20" s="1"/>
  <c r="BY26" i="20" s="1"/>
  <c r="AR26" i="23"/>
  <c r="AS26" i="23" s="1"/>
  <c r="AW26" i="23"/>
  <c r="BB26" i="23" s="1"/>
  <c r="BC26" i="23" s="1"/>
  <c r="BV144" i="20"/>
  <c r="BW144" i="20" s="1"/>
  <c r="BX144" i="20" s="1"/>
  <c r="BY144" i="20" s="1"/>
  <c r="BZ144" i="20"/>
  <c r="BU142" i="20"/>
  <c r="AM108" i="23"/>
  <c r="AH108" i="23"/>
  <c r="AI108" i="23" s="1"/>
  <c r="AH30" i="23"/>
  <c r="AI30" i="23" s="1"/>
  <c r="AM30" i="23"/>
  <c r="BU25" i="20"/>
  <c r="AH29" i="23"/>
  <c r="AI29" i="23" s="1"/>
  <c r="AM29" i="23"/>
  <c r="AM98" i="23"/>
  <c r="AH98" i="23"/>
  <c r="AI98" i="23" s="1"/>
  <c r="AM27" i="23"/>
  <c r="AH27" i="23"/>
  <c r="AI27" i="23" s="1"/>
  <c r="AM38" i="23"/>
  <c r="AH38" i="23"/>
  <c r="AI38" i="23" s="1"/>
  <c r="BU89" i="20"/>
  <c r="BU148" i="20"/>
  <c r="BU149" i="20" s="1"/>
  <c r="BU153" i="20"/>
  <c r="AR46" i="23"/>
  <c r="AS46" i="23" s="1"/>
  <c r="AW46" i="23"/>
  <c r="BB46" i="23" s="1"/>
  <c r="BC46" i="23" s="1"/>
  <c r="AM75" i="23"/>
  <c r="AH75" i="23"/>
  <c r="AI75" i="23" s="1"/>
  <c r="BV120" i="20"/>
  <c r="BZ120" i="20"/>
  <c r="AM121" i="23"/>
  <c r="AH121" i="23"/>
  <c r="AI121" i="23" s="1"/>
  <c r="BJ76" i="20"/>
  <c r="BU71" i="20"/>
  <c r="BZ43" i="20"/>
  <c r="BV43" i="20"/>
  <c r="BW43" i="20" s="1"/>
  <c r="BX43" i="20" s="1"/>
  <c r="BY43" i="20" s="1"/>
  <c r="BJ60" i="20"/>
  <c r="BU21" i="20"/>
  <c r="BZ19" i="20"/>
  <c r="BV19" i="20"/>
  <c r="BW19" i="20" s="1"/>
  <c r="BX19" i="20" s="1"/>
  <c r="BY19" i="20" s="1"/>
  <c r="AW101" i="23"/>
  <c r="BB101" i="23" s="1"/>
  <c r="BC101" i="23" s="1"/>
  <c r="AR101" i="23"/>
  <c r="AS101" i="23" s="1"/>
  <c r="AH17" i="23"/>
  <c r="AI17" i="23" s="1"/>
  <c r="AM17" i="23"/>
  <c r="BU41" i="20"/>
  <c r="BU68" i="20"/>
  <c r="BZ69" i="20"/>
  <c r="BV69" i="20"/>
  <c r="BW69" i="20" s="1"/>
  <c r="BX69" i="20" s="1"/>
  <c r="BY69" i="20" s="1"/>
  <c r="BU85" i="20"/>
  <c r="BU86" i="20" s="1"/>
  <c r="AM68" i="23"/>
  <c r="AH68" i="23"/>
  <c r="AI68" i="23" s="1"/>
  <c r="BZ33" i="20"/>
  <c r="BV33" i="20"/>
  <c r="BW33" i="20" s="1"/>
  <c r="BX33" i="20" s="1"/>
  <c r="BY33" i="20" s="1"/>
  <c r="AM109" i="23"/>
  <c r="AH109" i="23"/>
  <c r="AI109" i="23" s="1"/>
  <c r="AM73" i="23"/>
  <c r="AH73" i="23"/>
  <c r="AI73" i="23" s="1"/>
  <c r="BU134" i="20"/>
  <c r="AM66" i="23"/>
  <c r="AH66" i="23"/>
  <c r="AI66" i="23" s="1"/>
  <c r="AM94" i="23"/>
  <c r="AH94" i="23"/>
  <c r="AI94" i="23" s="1"/>
  <c r="BV142" i="20"/>
  <c r="BZ142" i="20"/>
  <c r="BU66" i="20"/>
  <c r="AM112" i="23"/>
  <c r="AH112" i="23"/>
  <c r="AI112" i="23" s="1"/>
  <c r="BU154" i="20"/>
  <c r="AM36" i="23"/>
  <c r="AH36" i="23"/>
  <c r="AI36" i="23" s="1"/>
  <c r="BZ30" i="20"/>
  <c r="BV30" i="20"/>
  <c r="BW30" i="20" s="1"/>
  <c r="BX30" i="20" s="1"/>
  <c r="BY30" i="20" s="1"/>
  <c r="BZ39" i="20"/>
  <c r="BV39" i="20"/>
  <c r="BV102" i="20"/>
  <c r="BZ102" i="20"/>
  <c r="BZ103" i="20" s="1"/>
  <c r="BV130" i="20"/>
  <c r="BZ130" i="20"/>
  <c r="BV25" i="20"/>
  <c r="BZ25" i="20"/>
  <c r="AW83" i="23"/>
  <c r="BB83" i="23" s="1"/>
  <c r="BC83" i="23" s="1"/>
  <c r="AR83" i="23"/>
  <c r="AS83" i="23" s="1"/>
  <c r="BZ40" i="20"/>
  <c r="BV40" i="20"/>
  <c r="BV115" i="20"/>
  <c r="BZ115" i="20"/>
  <c r="AW93" i="23"/>
  <c r="BB93" i="23" s="1"/>
  <c r="BC93" i="23" s="1"/>
  <c r="AR93" i="23"/>
  <c r="AS93" i="23" s="1"/>
  <c r="AR81" i="23"/>
  <c r="AS81" i="23" s="1"/>
  <c r="AW81" i="23"/>
  <c r="BB81" i="23" s="1"/>
  <c r="BC81" i="23" s="1"/>
  <c r="BZ75" i="20"/>
  <c r="BV75" i="20"/>
  <c r="BW75" i="20" s="1"/>
  <c r="BX75" i="20" s="1"/>
  <c r="BY75" i="20" s="1"/>
  <c r="BD21" i="23"/>
  <c r="BZ37" i="20"/>
  <c r="BV37" i="20"/>
  <c r="AH41" i="23"/>
  <c r="AI41" i="23" s="1"/>
  <c r="AM41" i="23"/>
  <c r="AM122" i="23"/>
  <c r="AH122" i="23"/>
  <c r="AI122" i="23" s="1"/>
  <c r="BU39" i="20"/>
  <c r="AM39" i="23"/>
  <c r="AH39" i="23"/>
  <c r="AI39" i="23" s="1"/>
  <c r="BZ34" i="20"/>
  <c r="BV34" i="20"/>
  <c r="AW71" i="23"/>
  <c r="BB71" i="23" s="1"/>
  <c r="BC71" i="23" s="1"/>
  <c r="AR71" i="23"/>
  <c r="AS71" i="23" s="1"/>
  <c r="AH99" i="23"/>
  <c r="AI99" i="23" s="1"/>
  <c r="AM99" i="23"/>
  <c r="BZ36" i="20"/>
  <c r="BV36" i="20"/>
  <c r="AM106" i="23"/>
  <c r="AH106" i="23"/>
  <c r="AI106" i="23" s="1"/>
  <c r="BU120" i="20"/>
  <c r="BU115" i="20" l="1"/>
  <c r="BZ137" i="20"/>
  <c r="BC156" i="20"/>
  <c r="BD59" i="23"/>
  <c r="BK156" i="20"/>
  <c r="AU156" i="20"/>
  <c r="BI156" i="20"/>
  <c r="CA73" i="20"/>
  <c r="CA97" i="20"/>
  <c r="CA145" i="20"/>
  <c r="BR141" i="20"/>
  <c r="BR147" i="20" s="1"/>
  <c r="BZ87" i="20"/>
  <c r="BZ88" i="20" s="1"/>
  <c r="BQ88" i="20"/>
  <c r="BU137" i="20"/>
  <c r="BW137" i="20" s="1"/>
  <c r="BX137" i="20" s="1"/>
  <c r="BY137" i="20" s="1"/>
  <c r="CA137" i="20" s="1"/>
  <c r="BR85" i="20"/>
  <c r="BR86" i="20" s="1"/>
  <c r="BR95" i="20"/>
  <c r="BR87" i="20"/>
  <c r="BR88" i="20" s="1"/>
  <c r="BQ116" i="20"/>
  <c r="CA46" i="20"/>
  <c r="BZ114" i="20"/>
  <c r="BZ116" i="20" s="1"/>
  <c r="BZ152" i="20"/>
  <c r="BV63" i="20"/>
  <c r="BW61" i="20"/>
  <c r="BW63" i="20" s="1"/>
  <c r="AW78" i="23"/>
  <c r="BB78" i="23" s="1"/>
  <c r="BC78" i="23" s="1"/>
  <c r="BD78" i="23" s="1"/>
  <c r="BM116" i="20"/>
  <c r="BJ140" i="20"/>
  <c r="BU100" i="20"/>
  <c r="BW114" i="20"/>
  <c r="BX114" i="20" s="1"/>
  <c r="BY114" i="20" s="1"/>
  <c r="BR100" i="20"/>
  <c r="BZ61" i="20"/>
  <c r="BZ63" i="20" s="1"/>
  <c r="BR61" i="20"/>
  <c r="BR63" i="20" s="1"/>
  <c r="BZ136" i="20"/>
  <c r="BV66" i="20"/>
  <c r="BV67" i="20" s="1"/>
  <c r="BR13" i="20"/>
  <c r="BR14" i="20" s="1"/>
  <c r="BW96" i="20"/>
  <c r="BW100" i="20" s="1"/>
  <c r="BZ117" i="20"/>
  <c r="BZ121" i="20" s="1"/>
  <c r="BZ82" i="20"/>
  <c r="BW125" i="20"/>
  <c r="BX125" i="20" s="1"/>
  <c r="BY125" i="20" s="1"/>
  <c r="BJ116" i="20"/>
  <c r="BR66" i="20"/>
  <c r="BR67" i="20" s="1"/>
  <c r="BV117" i="20"/>
  <c r="BW117" i="20" s="1"/>
  <c r="BQ140" i="20"/>
  <c r="BV88" i="20"/>
  <c r="BQ67" i="20"/>
  <c r="BR117" i="20"/>
  <c r="BR121" i="20" s="1"/>
  <c r="BV153" i="20"/>
  <c r="BV155" i="20" s="1"/>
  <c r="BV77" i="20"/>
  <c r="BW77" i="20" s="1"/>
  <c r="BV126" i="20"/>
  <c r="BV127" i="20" s="1"/>
  <c r="BR114" i="20"/>
  <c r="BR116" i="20" s="1"/>
  <c r="Y124" i="23"/>
  <c r="BZ11" i="20"/>
  <c r="BZ12" i="20" s="1"/>
  <c r="BQ12" i="20"/>
  <c r="BW34" i="20"/>
  <c r="BX34" i="20" s="1"/>
  <c r="BY34" i="20" s="1"/>
  <c r="CA34" i="20" s="1"/>
  <c r="BQ78" i="20"/>
  <c r="CA51" i="20"/>
  <c r="BR77" i="20"/>
  <c r="BR78" i="20" s="1"/>
  <c r="BW15" i="20"/>
  <c r="BX15" i="20" s="1"/>
  <c r="BY15" i="20" s="1"/>
  <c r="AW49" i="23"/>
  <c r="BB49" i="23" s="1"/>
  <c r="BC49" i="23" s="1"/>
  <c r="AR49" i="23"/>
  <c r="AS49" i="23" s="1"/>
  <c r="BW37" i="20"/>
  <c r="BX37" i="20" s="1"/>
  <c r="BY37" i="20" s="1"/>
  <c r="CA37" i="20" s="1"/>
  <c r="BQ90" i="20"/>
  <c r="BU116" i="20"/>
  <c r="BQ95" i="20"/>
  <c r="BR107" i="20"/>
  <c r="BV107" i="20"/>
  <c r="BW107" i="20" s="1"/>
  <c r="BX107" i="20" s="1"/>
  <c r="BY107" i="20" s="1"/>
  <c r="CA107" i="20" s="1"/>
  <c r="BV11" i="20"/>
  <c r="BV12" i="20" s="1"/>
  <c r="BR72" i="20"/>
  <c r="BR76" i="20" s="1"/>
  <c r="BZ68" i="20"/>
  <c r="BZ70" i="20" s="1"/>
  <c r="BV122" i="20"/>
  <c r="BW122" i="20" s="1"/>
  <c r="BQ124" i="20"/>
  <c r="BR68" i="20"/>
  <c r="BR70" i="20" s="1"/>
  <c r="BV148" i="20"/>
  <c r="BV149" i="20" s="1"/>
  <c r="BZ93" i="20"/>
  <c r="BZ95" i="20" s="1"/>
  <c r="BW102" i="20"/>
  <c r="BX102" i="20" s="1"/>
  <c r="BY102" i="20" s="1"/>
  <c r="CA102" i="20" s="1"/>
  <c r="BQ149" i="20"/>
  <c r="BM110" i="20"/>
  <c r="BW146" i="20"/>
  <c r="BX146" i="20" s="1"/>
  <c r="BY146" i="20" s="1"/>
  <c r="CA146" i="20" s="1"/>
  <c r="BW59" i="20"/>
  <c r="BX59" i="20" s="1"/>
  <c r="BY59" i="20" s="1"/>
  <c r="CA59" i="20" s="1"/>
  <c r="BV68" i="20"/>
  <c r="BW68" i="20" s="1"/>
  <c r="BZ126" i="20"/>
  <c r="BZ127" i="20" s="1"/>
  <c r="BQ152" i="20"/>
  <c r="BR127" i="20"/>
  <c r="BV151" i="20"/>
  <c r="BW151" i="20" s="1"/>
  <c r="CA48" i="20"/>
  <c r="BQ108" i="20"/>
  <c r="BR108" i="20" s="1"/>
  <c r="BQ127" i="20"/>
  <c r="BR104" i="20"/>
  <c r="BR105" i="20" s="1"/>
  <c r="BZ153" i="20"/>
  <c r="BZ155" i="20" s="1"/>
  <c r="BU121" i="20"/>
  <c r="BV100" i="20"/>
  <c r="BQ155" i="20"/>
  <c r="BR151" i="20"/>
  <c r="BR152" i="20" s="1"/>
  <c r="BW44" i="20"/>
  <c r="BX44" i="20" s="1"/>
  <c r="BY44" i="20" s="1"/>
  <c r="CA44" i="20" s="1"/>
  <c r="BX64" i="20"/>
  <c r="BY64" i="20" s="1"/>
  <c r="BR109" i="20"/>
  <c r="AR43" i="23"/>
  <c r="AS43" i="23" s="1"/>
  <c r="AW43" i="23"/>
  <c r="BB43" i="23" s="1"/>
  <c r="BC43" i="23" s="1"/>
  <c r="CA144" i="20"/>
  <c r="CA138" i="20"/>
  <c r="CA123" i="20"/>
  <c r="CA119" i="20"/>
  <c r="CA118" i="20"/>
  <c r="CA112" i="20"/>
  <c r="CA114" i="20"/>
  <c r="CA98" i="20"/>
  <c r="CA99" i="20"/>
  <c r="CA52" i="20"/>
  <c r="CA26" i="20"/>
  <c r="CA47" i="20"/>
  <c r="CA54" i="20"/>
  <c r="CA58" i="20"/>
  <c r="CA57" i="20"/>
  <c r="CA22" i="20"/>
  <c r="CA50" i="20"/>
  <c r="CA35" i="20"/>
  <c r="BW126" i="20"/>
  <c r="BX126" i="20" s="1"/>
  <c r="BR82" i="20"/>
  <c r="BR103" i="20"/>
  <c r="BZ135" i="20"/>
  <c r="BR124" i="20"/>
  <c r="BW115" i="20"/>
  <c r="BX115" i="20" s="1"/>
  <c r="BY115" i="20" s="1"/>
  <c r="BV93" i="20"/>
  <c r="BV95" i="20" s="1"/>
  <c r="BD81" i="23"/>
  <c r="BR90" i="20"/>
  <c r="BZ89" i="20"/>
  <c r="BZ90" i="20" s="1"/>
  <c r="AR45" i="23"/>
  <c r="AS45" i="23" s="1"/>
  <c r="AW45" i="23"/>
  <c r="BB45" i="23" s="1"/>
  <c r="BC45" i="23" s="1"/>
  <c r="BR92" i="20"/>
  <c r="BZ91" i="20"/>
  <c r="BZ92" i="20" s="1"/>
  <c r="BQ92" i="20"/>
  <c r="BV91" i="20"/>
  <c r="BV92" i="20" s="1"/>
  <c r="CA30" i="20"/>
  <c r="BZ148" i="20"/>
  <c r="BZ149" i="20" s="1"/>
  <c r="BV13" i="20"/>
  <c r="BV89" i="20"/>
  <c r="BV90" i="20" s="1"/>
  <c r="AM88" i="23"/>
  <c r="AH88" i="23"/>
  <c r="AI88" i="23" s="1"/>
  <c r="AM89" i="23"/>
  <c r="AH89" i="23"/>
  <c r="AI89" i="23" s="1"/>
  <c r="BZ109" i="20"/>
  <c r="BV109" i="20"/>
  <c r="AW51" i="23"/>
  <c r="BB51" i="23" s="1"/>
  <c r="BC51" i="23" s="1"/>
  <c r="AR51" i="23"/>
  <c r="AS51" i="23" s="1"/>
  <c r="CA33" i="20"/>
  <c r="CA69" i="20"/>
  <c r="BU155" i="20"/>
  <c r="CA29" i="20"/>
  <c r="BZ122" i="20"/>
  <c r="BZ124" i="20" s="1"/>
  <c r="BN156" i="20"/>
  <c r="AW87" i="23"/>
  <c r="BB87" i="23" s="1"/>
  <c r="BC87" i="23" s="1"/>
  <c r="AR87" i="23"/>
  <c r="AS87" i="23" s="1"/>
  <c r="BU108" i="20"/>
  <c r="BJ110" i="20"/>
  <c r="AW76" i="23"/>
  <c r="BB76" i="23" s="1"/>
  <c r="BC76" i="23" s="1"/>
  <c r="AR76" i="23"/>
  <c r="AS76" i="23" s="1"/>
  <c r="BU109" i="20"/>
  <c r="BX106" i="20"/>
  <c r="BY106" i="20" s="1"/>
  <c r="BU84" i="20"/>
  <c r="BU127" i="20"/>
  <c r="CA28" i="20"/>
  <c r="CA19" i="20"/>
  <c r="BR155" i="20"/>
  <c r="BU90" i="20"/>
  <c r="CA38" i="20"/>
  <c r="BZ104" i="20"/>
  <c r="BZ105" i="20" s="1"/>
  <c r="BZ72" i="20"/>
  <c r="BZ76" i="20" s="1"/>
  <c r="BV141" i="20"/>
  <c r="BV147" i="20" s="1"/>
  <c r="CA17" i="20"/>
  <c r="BU135" i="20"/>
  <c r="BD80" i="23"/>
  <c r="BR140" i="20"/>
  <c r="AR72" i="23"/>
  <c r="AS72" i="23" s="1"/>
  <c r="AW72" i="23"/>
  <c r="BB72" i="23" s="1"/>
  <c r="BC72" i="23" s="1"/>
  <c r="BV103" i="20"/>
  <c r="BX87" i="20"/>
  <c r="BY87" i="20" s="1"/>
  <c r="BW88" i="20"/>
  <c r="BU70" i="20"/>
  <c r="BU12" i="20"/>
  <c r="BU147" i="20"/>
  <c r="BW20" i="20"/>
  <c r="BX20" i="20" s="1"/>
  <c r="BY20" i="20" s="1"/>
  <c r="BW80" i="20"/>
  <c r="BX80" i="20" s="1"/>
  <c r="BY80" i="20" s="1"/>
  <c r="BV104" i="20"/>
  <c r="BV105" i="20" s="1"/>
  <c r="BZ85" i="20"/>
  <c r="BZ86" i="20" s="1"/>
  <c r="BV72" i="20"/>
  <c r="BZ141" i="20"/>
  <c r="BZ147" i="20" s="1"/>
  <c r="BQ84" i="20"/>
  <c r="BV83" i="20"/>
  <c r="BV84" i="20" s="1"/>
  <c r="BZ83" i="20"/>
  <c r="BZ84" i="20" s="1"/>
  <c r="AW107" i="23"/>
  <c r="BB107" i="23" s="1"/>
  <c r="BC107" i="23" s="1"/>
  <c r="AR107" i="23"/>
  <c r="AS107" i="23" s="1"/>
  <c r="BU82" i="20"/>
  <c r="BX101" i="20"/>
  <c r="BY101" i="20" s="1"/>
  <c r="AO12" i="20"/>
  <c r="AO156" i="20" s="1"/>
  <c r="BX111" i="20"/>
  <c r="BY111" i="20" s="1"/>
  <c r="BV136" i="20"/>
  <c r="CA75" i="20"/>
  <c r="BW154" i="20"/>
  <c r="BX154" i="20" s="1"/>
  <c r="BY154" i="20" s="1"/>
  <c r="BU67" i="20"/>
  <c r="BW41" i="20"/>
  <c r="BX41" i="20" s="1"/>
  <c r="BY41" i="20" s="1"/>
  <c r="CA43" i="20"/>
  <c r="CA143" i="20"/>
  <c r="BW74" i="20"/>
  <c r="BX74" i="20" s="1"/>
  <c r="BY74" i="20" s="1"/>
  <c r="BR132" i="20"/>
  <c r="BU105" i="20"/>
  <c r="BW36" i="20"/>
  <c r="BX36" i="20" s="1"/>
  <c r="BY36" i="20" s="1"/>
  <c r="CA42" i="20"/>
  <c r="BZ13" i="20"/>
  <c r="BZ14" i="20" s="1"/>
  <c r="BV85" i="20"/>
  <c r="BV86" i="20" s="1"/>
  <c r="BD100" i="23"/>
  <c r="BR135" i="20"/>
  <c r="BW133" i="20"/>
  <c r="BW79" i="20"/>
  <c r="BV82" i="20"/>
  <c r="BV116" i="20"/>
  <c r="BD34" i="23"/>
  <c r="BD26" i="23"/>
  <c r="BD83" i="23"/>
  <c r="BD101" i="23"/>
  <c r="BD46" i="23"/>
  <c r="BD57" i="23"/>
  <c r="AW16" i="23"/>
  <c r="BB16" i="23" s="1"/>
  <c r="BC16" i="23" s="1"/>
  <c r="AR16" i="23"/>
  <c r="AS16" i="23" s="1"/>
  <c r="AR98" i="23"/>
  <c r="AS98" i="23" s="1"/>
  <c r="AW98" i="23"/>
  <c r="BB98" i="23" s="1"/>
  <c r="BC98" i="23" s="1"/>
  <c r="BW25" i="20"/>
  <c r="BX25" i="20" s="1"/>
  <c r="BY25" i="20" s="1"/>
  <c r="AR33" i="23"/>
  <c r="AS33" i="23" s="1"/>
  <c r="AW33" i="23"/>
  <c r="BB33" i="23" s="1"/>
  <c r="BC33" i="23" s="1"/>
  <c r="BW40" i="20"/>
  <c r="BX40" i="20" s="1"/>
  <c r="BY40" i="20" s="1"/>
  <c r="AW11" i="23"/>
  <c r="BB11" i="23" s="1"/>
  <c r="BC11" i="23" s="1"/>
  <c r="AR11" i="23"/>
  <c r="AS11" i="23" s="1"/>
  <c r="AW95" i="23"/>
  <c r="BB95" i="23" s="1"/>
  <c r="BC95" i="23" s="1"/>
  <c r="AR95" i="23"/>
  <c r="AS95" i="23" s="1"/>
  <c r="AR40" i="23"/>
  <c r="AS40" i="23" s="1"/>
  <c r="AW40" i="23"/>
  <c r="BB40" i="23" s="1"/>
  <c r="BC40" i="23" s="1"/>
  <c r="AR63" i="23"/>
  <c r="AS63" i="23" s="1"/>
  <c r="AW63" i="23"/>
  <c r="BB63" i="23" s="1"/>
  <c r="BC63" i="23" s="1"/>
  <c r="AR85" i="23"/>
  <c r="AS85" i="23" s="1"/>
  <c r="AW85" i="23"/>
  <c r="BB85" i="23" s="1"/>
  <c r="BC85" i="23" s="1"/>
  <c r="AR84" i="23"/>
  <c r="AS84" i="23" s="1"/>
  <c r="AW84" i="23"/>
  <c r="BB84" i="23" s="1"/>
  <c r="BC84" i="23" s="1"/>
  <c r="BW32" i="20"/>
  <c r="BX32" i="20" s="1"/>
  <c r="BY32" i="20" s="1"/>
  <c r="AW99" i="23"/>
  <c r="BB99" i="23" s="1"/>
  <c r="BC99" i="23" s="1"/>
  <c r="AR99" i="23"/>
  <c r="AS99" i="23" s="1"/>
  <c r="AR68" i="23"/>
  <c r="AS68" i="23" s="1"/>
  <c r="AW68" i="23"/>
  <c r="BB68" i="23" s="1"/>
  <c r="BC68" i="23" s="1"/>
  <c r="BU132" i="20"/>
  <c r="AW77" i="23"/>
  <c r="BB77" i="23" s="1"/>
  <c r="BC77" i="23" s="1"/>
  <c r="AR77" i="23"/>
  <c r="AS77" i="23" s="1"/>
  <c r="AW56" i="23"/>
  <c r="BB56" i="23" s="1"/>
  <c r="BC56" i="23" s="1"/>
  <c r="AR56" i="23"/>
  <c r="AS56" i="23" s="1"/>
  <c r="AW12" i="23"/>
  <c r="BB12" i="23" s="1"/>
  <c r="BC12" i="23" s="1"/>
  <c r="AR12" i="23"/>
  <c r="AS12" i="23" s="1"/>
  <c r="AW118" i="23"/>
  <c r="BB118" i="23" s="1"/>
  <c r="BC118" i="23" s="1"/>
  <c r="AR118" i="23"/>
  <c r="AS118" i="23" s="1"/>
  <c r="BW130" i="20"/>
  <c r="BX130" i="20" s="1"/>
  <c r="BY130" i="20" s="1"/>
  <c r="AW61" i="23"/>
  <c r="BB61" i="23" s="1"/>
  <c r="BC61" i="23" s="1"/>
  <c r="AR61" i="23"/>
  <c r="AS61" i="23" s="1"/>
  <c r="AR25" i="23"/>
  <c r="AS25" i="23" s="1"/>
  <c r="AW25" i="23"/>
  <c r="BB25" i="23" s="1"/>
  <c r="BC25" i="23" s="1"/>
  <c r="BW134" i="20"/>
  <c r="BX134" i="20" s="1"/>
  <c r="BY134" i="20" s="1"/>
  <c r="BR60" i="20"/>
  <c r="AW121" i="23"/>
  <c r="BB121" i="23" s="1"/>
  <c r="BC121" i="23" s="1"/>
  <c r="AR121" i="23"/>
  <c r="AS121" i="23" s="1"/>
  <c r="AW75" i="23"/>
  <c r="BB75" i="23" s="1"/>
  <c r="BC75" i="23" s="1"/>
  <c r="AR75" i="23"/>
  <c r="AS75" i="23" s="1"/>
  <c r="AW38" i="23"/>
  <c r="BB38" i="23" s="1"/>
  <c r="BC38" i="23" s="1"/>
  <c r="AR38" i="23"/>
  <c r="AS38" i="23" s="1"/>
  <c r="AW29" i="23"/>
  <c r="BB29" i="23" s="1"/>
  <c r="BC29" i="23" s="1"/>
  <c r="AR29" i="23"/>
  <c r="AS29" i="23" s="1"/>
  <c r="AW108" i="23"/>
  <c r="BB108" i="23" s="1"/>
  <c r="BC108" i="23" s="1"/>
  <c r="AR108" i="23"/>
  <c r="AS108" i="23" s="1"/>
  <c r="AW14" i="23"/>
  <c r="BB14" i="23" s="1"/>
  <c r="BC14" i="23" s="1"/>
  <c r="AR14" i="23"/>
  <c r="AS14" i="23" s="1"/>
  <c r="BW139" i="20"/>
  <c r="BX139" i="20" s="1"/>
  <c r="BY139" i="20" s="1"/>
  <c r="AW67" i="23"/>
  <c r="BB67" i="23" s="1"/>
  <c r="BC67" i="23" s="1"/>
  <c r="AR67" i="23"/>
  <c r="AS67" i="23" s="1"/>
  <c r="AW64" i="23"/>
  <c r="BB64" i="23" s="1"/>
  <c r="BC64" i="23" s="1"/>
  <c r="AR64" i="23"/>
  <c r="AS64" i="23" s="1"/>
  <c r="AW22" i="23"/>
  <c r="BB22" i="23" s="1"/>
  <c r="BC22" i="23" s="1"/>
  <c r="AR22" i="23"/>
  <c r="AS22" i="23" s="1"/>
  <c r="AR102" i="23"/>
  <c r="AS102" i="23" s="1"/>
  <c r="AW102" i="23"/>
  <c r="BB102" i="23" s="1"/>
  <c r="BC102" i="23" s="1"/>
  <c r="AR123" i="23"/>
  <c r="AS123" i="23" s="1"/>
  <c r="AW123" i="23"/>
  <c r="BB123" i="23" s="1"/>
  <c r="BC123" i="23" s="1"/>
  <c r="BQ132" i="20"/>
  <c r="BV128" i="20"/>
  <c r="BV132" i="20" s="1"/>
  <c r="BZ128" i="20"/>
  <c r="BZ132" i="20" s="1"/>
  <c r="AW18" i="23"/>
  <c r="BB18" i="23" s="1"/>
  <c r="BC18" i="23" s="1"/>
  <c r="AR18" i="23"/>
  <c r="AS18" i="23" s="1"/>
  <c r="AW105" i="23"/>
  <c r="BB105" i="23" s="1"/>
  <c r="BC105" i="23" s="1"/>
  <c r="AR105" i="23"/>
  <c r="AS105" i="23" s="1"/>
  <c r="AR62" i="23"/>
  <c r="AS62" i="23" s="1"/>
  <c r="AW62" i="23"/>
  <c r="BB62" i="23" s="1"/>
  <c r="BC62" i="23" s="1"/>
  <c r="AR37" i="23"/>
  <c r="AS37" i="23" s="1"/>
  <c r="AW37" i="23"/>
  <c r="BB37" i="23" s="1"/>
  <c r="BC37" i="23" s="1"/>
  <c r="BZ60" i="20"/>
  <c r="AW116" i="23"/>
  <c r="BB116" i="23" s="1"/>
  <c r="BC116" i="23" s="1"/>
  <c r="AR116" i="23"/>
  <c r="AS116" i="23" s="1"/>
  <c r="AW39" i="23"/>
  <c r="BB39" i="23" s="1"/>
  <c r="BC39" i="23" s="1"/>
  <c r="AR39" i="23"/>
  <c r="AS39" i="23" s="1"/>
  <c r="AW41" i="23"/>
  <c r="BB41" i="23" s="1"/>
  <c r="BC41" i="23" s="1"/>
  <c r="AR41" i="23"/>
  <c r="AS41" i="23" s="1"/>
  <c r="BD93" i="23"/>
  <c r="AW36" i="23"/>
  <c r="BB36" i="23" s="1"/>
  <c r="BC36" i="23" s="1"/>
  <c r="AR36" i="23"/>
  <c r="AS36" i="23" s="1"/>
  <c r="AW94" i="23"/>
  <c r="BB94" i="23" s="1"/>
  <c r="BC94" i="23" s="1"/>
  <c r="AR94" i="23"/>
  <c r="AS94" i="23" s="1"/>
  <c r="AW73" i="23"/>
  <c r="BB73" i="23" s="1"/>
  <c r="BC73" i="23" s="1"/>
  <c r="AR73" i="23"/>
  <c r="AS73" i="23" s="1"/>
  <c r="AW17" i="23"/>
  <c r="BB17" i="23" s="1"/>
  <c r="BC17" i="23" s="1"/>
  <c r="AR17" i="23"/>
  <c r="AS17" i="23" s="1"/>
  <c r="BW39" i="20"/>
  <c r="BX39" i="20" s="1"/>
  <c r="BY39" i="20" s="1"/>
  <c r="AW112" i="23"/>
  <c r="BB112" i="23" s="1"/>
  <c r="BC112" i="23" s="1"/>
  <c r="AR112" i="23"/>
  <c r="AS112" i="23" s="1"/>
  <c r="BW120" i="20"/>
  <c r="BX120" i="20" s="1"/>
  <c r="BY120" i="20" s="1"/>
  <c r="AW106" i="23"/>
  <c r="BB106" i="23" s="1"/>
  <c r="BC106" i="23" s="1"/>
  <c r="AR106" i="23"/>
  <c r="AS106" i="23" s="1"/>
  <c r="BD71" i="23"/>
  <c r="AW122" i="23"/>
  <c r="BB122" i="23" s="1"/>
  <c r="BC122" i="23" s="1"/>
  <c r="AR122" i="23"/>
  <c r="AS122" i="23" s="1"/>
  <c r="AW66" i="23"/>
  <c r="BB66" i="23" s="1"/>
  <c r="BC66" i="23" s="1"/>
  <c r="AR66" i="23"/>
  <c r="AS66" i="23" s="1"/>
  <c r="AR109" i="23"/>
  <c r="AS109" i="23" s="1"/>
  <c r="AW109" i="23"/>
  <c r="BB109" i="23" s="1"/>
  <c r="BC109" i="23" s="1"/>
  <c r="BW21" i="20"/>
  <c r="BU60" i="20"/>
  <c r="BU76" i="20"/>
  <c r="BW71" i="20"/>
  <c r="AR27" i="23"/>
  <c r="AS27" i="23" s="1"/>
  <c r="AW27" i="23"/>
  <c r="BB27" i="23" s="1"/>
  <c r="BC27" i="23" s="1"/>
  <c r="AW30" i="23"/>
  <c r="BB30" i="23" s="1"/>
  <c r="BC30" i="23" s="1"/>
  <c r="AR30" i="23"/>
  <c r="AS30" i="23" s="1"/>
  <c r="BW142" i="20"/>
  <c r="BX142" i="20" s="1"/>
  <c r="BY142" i="20" s="1"/>
  <c r="AW115" i="23"/>
  <c r="BB115" i="23" s="1"/>
  <c r="BC115" i="23" s="1"/>
  <c r="AR115" i="23"/>
  <c r="AS115" i="23" s="1"/>
  <c r="AW35" i="23"/>
  <c r="BB35" i="23" s="1"/>
  <c r="BC35" i="23" s="1"/>
  <c r="AR35" i="23"/>
  <c r="AS35" i="23" s="1"/>
  <c r="AW103" i="23"/>
  <c r="BB103" i="23" s="1"/>
  <c r="BC103" i="23" s="1"/>
  <c r="AR103" i="23"/>
  <c r="AS103" i="23" s="1"/>
  <c r="AW114" i="23"/>
  <c r="BB114" i="23" s="1"/>
  <c r="BC114" i="23" s="1"/>
  <c r="AR114" i="23"/>
  <c r="AS114" i="23" s="1"/>
  <c r="AW70" i="23"/>
  <c r="BB70" i="23" s="1"/>
  <c r="BC70" i="23" s="1"/>
  <c r="AR70" i="23"/>
  <c r="AS70" i="23" s="1"/>
  <c r="BV60" i="20"/>
  <c r="AW31" i="23"/>
  <c r="BB31" i="23" s="1"/>
  <c r="BC31" i="23" s="1"/>
  <c r="AR31" i="23"/>
  <c r="AS31" i="23" s="1"/>
  <c r="AW24" i="23"/>
  <c r="BB24" i="23" s="1"/>
  <c r="BC24" i="23" s="1"/>
  <c r="AR24" i="23"/>
  <c r="AS24" i="23" s="1"/>
  <c r="AW113" i="23"/>
  <c r="BB113" i="23" s="1"/>
  <c r="BC113" i="23" s="1"/>
  <c r="AR113" i="23"/>
  <c r="AS113" i="23" s="1"/>
  <c r="BZ140" i="20" l="1"/>
  <c r="BM156" i="20"/>
  <c r="BX61" i="20"/>
  <c r="BY61" i="20" s="1"/>
  <c r="BU140" i="20"/>
  <c r="BW66" i="20"/>
  <c r="BW67" i="20" s="1"/>
  <c r="BV121" i="20"/>
  <c r="BW16" i="20"/>
  <c r="BW11" i="20"/>
  <c r="BX11" i="20" s="1"/>
  <c r="BY11" i="20" s="1"/>
  <c r="BX96" i="20"/>
  <c r="BY96" i="20" s="1"/>
  <c r="BJ156" i="20"/>
  <c r="BW153" i="20"/>
  <c r="BX153" i="20" s="1"/>
  <c r="BY153" i="20" s="1"/>
  <c r="BV78" i="20"/>
  <c r="BV124" i="20"/>
  <c r="BV152" i="20"/>
  <c r="BW148" i="20"/>
  <c r="BX148" i="20" s="1"/>
  <c r="BY148" i="20" s="1"/>
  <c r="AI124" i="23"/>
  <c r="BD49" i="23"/>
  <c r="BV70" i="20"/>
  <c r="BW103" i="20"/>
  <c r="BW127" i="20"/>
  <c r="BX65" i="20"/>
  <c r="BR110" i="20"/>
  <c r="BR156" i="20" s="1"/>
  <c r="BD87" i="23"/>
  <c r="BY126" i="20"/>
  <c r="CA126" i="20" s="1"/>
  <c r="BD43" i="23"/>
  <c r="BD76" i="23"/>
  <c r="BW141" i="20"/>
  <c r="BX141" i="20" s="1"/>
  <c r="BY141" i="20" s="1"/>
  <c r="BW93" i="20"/>
  <c r="BX93" i="20" s="1"/>
  <c r="BY93" i="20" s="1"/>
  <c r="CA154" i="20"/>
  <c r="CA139" i="20"/>
  <c r="CA142" i="20"/>
  <c r="CA134" i="20"/>
  <c r="CA130" i="20"/>
  <c r="CA120" i="20"/>
  <c r="CA115" i="20"/>
  <c r="CA80" i="20"/>
  <c r="CA74" i="20"/>
  <c r="CA41" i="20"/>
  <c r="CA39" i="20"/>
  <c r="CA32" i="20"/>
  <c r="CA25" i="20"/>
  <c r="CA40" i="20"/>
  <c r="CA36" i="20"/>
  <c r="CA20" i="20"/>
  <c r="BW116" i="20"/>
  <c r="BD123" i="23"/>
  <c r="BD107" i="23"/>
  <c r="BW95" i="20"/>
  <c r="BW91" i="20"/>
  <c r="BD67" i="23"/>
  <c r="BD51" i="23"/>
  <c r="AW89" i="23"/>
  <c r="BB89" i="23" s="1"/>
  <c r="BC89" i="23" s="1"/>
  <c r="AR89" i="23"/>
  <c r="AS89" i="23" s="1"/>
  <c r="BW85" i="20"/>
  <c r="BX85" i="20" s="1"/>
  <c r="BY85" i="20" s="1"/>
  <c r="BW109" i="20"/>
  <c r="BX109" i="20" s="1"/>
  <c r="BY109" i="20" s="1"/>
  <c r="BV108" i="20"/>
  <c r="BV110" i="20" s="1"/>
  <c r="BZ108" i="20"/>
  <c r="BZ110" i="20" s="1"/>
  <c r="BQ110" i="20"/>
  <c r="BQ156" i="20" s="1"/>
  <c r="BD84" i="23"/>
  <c r="BD63" i="23"/>
  <c r="BW104" i="20"/>
  <c r="BX104" i="20" s="1"/>
  <c r="BY104" i="20" s="1"/>
  <c r="BW89" i="20"/>
  <c r="BW90" i="20" s="1"/>
  <c r="BU110" i="20"/>
  <c r="AW88" i="23"/>
  <c r="BB88" i="23" s="1"/>
  <c r="BC88" i="23" s="1"/>
  <c r="BC124" i="23" s="1"/>
  <c r="AR88" i="23"/>
  <c r="AS88" i="23" s="1"/>
  <c r="AS124" i="23" s="1"/>
  <c r="BV14" i="20"/>
  <c r="BW13" i="20"/>
  <c r="BD45" i="23"/>
  <c r="CA64" i="20"/>
  <c r="CA65" i="20" s="1"/>
  <c r="BY65" i="20"/>
  <c r="BX122" i="20"/>
  <c r="BY122" i="20" s="1"/>
  <c r="BW124" i="20"/>
  <c r="BX117" i="20"/>
  <c r="BY117" i="20" s="1"/>
  <c r="BW121" i="20"/>
  <c r="CA150" i="20"/>
  <c r="BD64" i="23"/>
  <c r="BX79" i="20"/>
  <c r="BY79" i="20" s="1"/>
  <c r="BW82" i="20"/>
  <c r="BW136" i="20"/>
  <c r="BV140" i="20"/>
  <c r="BX16" i="20"/>
  <c r="BX88" i="20"/>
  <c r="BW128" i="20"/>
  <c r="BX128" i="20" s="1"/>
  <c r="BY128" i="20" s="1"/>
  <c r="BX133" i="20"/>
  <c r="BY133" i="20" s="1"/>
  <c r="BW135" i="20"/>
  <c r="BX77" i="20"/>
  <c r="BY77" i="20" s="1"/>
  <c r="BW78" i="20"/>
  <c r="BD98" i="23"/>
  <c r="BX116" i="20"/>
  <c r="BX103" i="20"/>
  <c r="BW72" i="20"/>
  <c r="BX72" i="20" s="1"/>
  <c r="BY72" i="20" s="1"/>
  <c r="BV76" i="20"/>
  <c r="BX68" i="20"/>
  <c r="BY68" i="20" s="1"/>
  <c r="BW70" i="20"/>
  <c r="BD72" i="23"/>
  <c r="BW83" i="20"/>
  <c r="BX127" i="20"/>
  <c r="BX151" i="20"/>
  <c r="BY151" i="20" s="1"/>
  <c r="BW152" i="20"/>
  <c r="BD30" i="23"/>
  <c r="BD66" i="23"/>
  <c r="BD112" i="23"/>
  <c r="BD17" i="23"/>
  <c r="BD94" i="23"/>
  <c r="BD18" i="23"/>
  <c r="BD14" i="23"/>
  <c r="BD29" i="23"/>
  <c r="BD122" i="23"/>
  <c r="BD73" i="23"/>
  <c r="BD36" i="23"/>
  <c r="BD39" i="23"/>
  <c r="BD105" i="23"/>
  <c r="BD102" i="23"/>
  <c r="BD108" i="23"/>
  <c r="BD38" i="23"/>
  <c r="BD61" i="23"/>
  <c r="BD68" i="23"/>
  <c r="BD85" i="23"/>
  <c r="BD40" i="23"/>
  <c r="BD95" i="23"/>
  <c r="BX71" i="20"/>
  <c r="BY71" i="20" s="1"/>
  <c r="BX21" i="20"/>
  <c r="BY21" i="20" s="1"/>
  <c r="BW60" i="20"/>
  <c r="BD11" i="23"/>
  <c r="BD113" i="23"/>
  <c r="BD31" i="23"/>
  <c r="BD70" i="23"/>
  <c r="BD103" i="23"/>
  <c r="BD115" i="23"/>
  <c r="BD27" i="23"/>
  <c r="BD109" i="23"/>
  <c r="BD106" i="23"/>
  <c r="BD41" i="23"/>
  <c r="BD116" i="23"/>
  <c r="BD37" i="23"/>
  <c r="BD22" i="23"/>
  <c r="BD75" i="23"/>
  <c r="BD118" i="23"/>
  <c r="BD56" i="23"/>
  <c r="BD99" i="23"/>
  <c r="BD24" i="23"/>
  <c r="BD114" i="23"/>
  <c r="BD35" i="23"/>
  <c r="BD62" i="23"/>
  <c r="BD121" i="23"/>
  <c r="BD25" i="23"/>
  <c r="BD12" i="23"/>
  <c r="BD77" i="23"/>
  <c r="BD33" i="23"/>
  <c r="BD16" i="23"/>
  <c r="BX66" i="20" l="1"/>
  <c r="BY66" i="20" s="1"/>
  <c r="BX63" i="20"/>
  <c r="BU156" i="20"/>
  <c r="BX100" i="20"/>
  <c r="BW12" i="20"/>
  <c r="BW155" i="20"/>
  <c r="BW149" i="20"/>
  <c r="BX95" i="20"/>
  <c r="BW147" i="20"/>
  <c r="CA109" i="20"/>
  <c r="CA72" i="20"/>
  <c r="BW105" i="20"/>
  <c r="BW86" i="20"/>
  <c r="BX89" i="20"/>
  <c r="BY89" i="20" s="1"/>
  <c r="BZ156" i="20"/>
  <c r="BX91" i="20"/>
  <c r="BY91" i="20" s="1"/>
  <c r="BW92" i="20"/>
  <c r="BX13" i="20"/>
  <c r="BY13" i="20" s="1"/>
  <c r="BW14" i="20"/>
  <c r="BW132" i="20"/>
  <c r="BW76" i="20"/>
  <c r="BV156" i="20"/>
  <c r="BW108" i="20"/>
  <c r="BD89" i="23"/>
  <c r="BD88" i="23"/>
  <c r="BX70" i="20"/>
  <c r="CA125" i="20"/>
  <c r="CA127" i="20" s="1"/>
  <c r="BY127" i="20"/>
  <c r="BY95" i="20"/>
  <c r="CA93" i="20"/>
  <c r="CA95" i="20" s="1"/>
  <c r="CA87" i="20"/>
  <c r="CA88" i="20" s="1"/>
  <c r="BY88" i="20"/>
  <c r="BX136" i="20"/>
  <c r="BY136" i="20" s="1"/>
  <c r="BW140" i="20"/>
  <c r="BX155" i="20"/>
  <c r="BX83" i="20"/>
  <c r="BY83" i="20" s="1"/>
  <c r="BW84" i="20"/>
  <c r="BX147" i="20"/>
  <c r="BX78" i="20"/>
  <c r="BX86" i="20"/>
  <c r="CA15" i="20"/>
  <c r="CA16" i="20" s="1"/>
  <c r="BY16" i="20"/>
  <c r="BX105" i="20"/>
  <c r="BX124" i="20"/>
  <c r="BX152" i="20"/>
  <c r="CA111" i="20"/>
  <c r="CA116" i="20" s="1"/>
  <c r="BY116" i="20"/>
  <c r="CA106" i="20"/>
  <c r="CA61" i="20"/>
  <c r="CA63" i="20" s="1"/>
  <c r="BY63" i="20"/>
  <c r="BX82" i="20"/>
  <c r="CA101" i="20"/>
  <c r="CA103" i="20" s="1"/>
  <c r="BY103" i="20"/>
  <c r="BX135" i="20"/>
  <c r="CA96" i="20"/>
  <c r="CA100" i="20" s="1"/>
  <c r="BY100" i="20"/>
  <c r="BX149" i="20"/>
  <c r="BX12" i="20"/>
  <c r="BX121" i="20"/>
  <c r="BX132" i="20"/>
  <c r="BX60" i="20"/>
  <c r="BX76" i="20"/>
  <c r="BX67" i="20" l="1"/>
  <c r="BD124" i="23"/>
  <c r="BX90" i="20"/>
  <c r="BX92" i="20"/>
  <c r="BX108" i="20"/>
  <c r="BY108" i="20" s="1"/>
  <c r="BW110" i="20"/>
  <c r="BW156" i="20" s="1"/>
  <c r="BX14" i="20"/>
  <c r="CA79" i="20"/>
  <c r="CA82" i="20" s="1"/>
  <c r="BY82" i="20"/>
  <c r="CA77" i="20"/>
  <c r="CA78" i="20" s="1"/>
  <c r="BY78" i="20"/>
  <c r="BX84" i="20"/>
  <c r="BX140" i="20"/>
  <c r="CA68" i="20"/>
  <c r="CA70" i="20" s="1"/>
  <c r="BY70" i="20"/>
  <c r="BY90" i="20"/>
  <c r="CA89" i="20"/>
  <c r="CA90" i="20" s="1"/>
  <c r="CA85" i="20"/>
  <c r="CA86" i="20" s="1"/>
  <c r="BY86" i="20"/>
  <c r="CA141" i="20"/>
  <c r="CA147" i="20" s="1"/>
  <c r="BY147" i="20"/>
  <c r="CA153" i="20"/>
  <c r="CA155" i="20" s="1"/>
  <c r="BY155" i="20"/>
  <c r="CA11" i="20"/>
  <c r="CA12" i="20" s="1"/>
  <c r="BY12" i="20"/>
  <c r="CA66" i="20"/>
  <c r="CA67" i="20" s="1"/>
  <c r="BY67" i="20"/>
  <c r="CA122" i="20"/>
  <c r="CA124" i="20" s="1"/>
  <c r="BY124" i="20"/>
  <c r="CA117" i="20"/>
  <c r="CA121" i="20" s="1"/>
  <c r="BY121" i="20"/>
  <c r="CA148" i="20"/>
  <c r="CA149" i="20" s="1"/>
  <c r="BY149" i="20"/>
  <c r="CA133" i="20"/>
  <c r="CA135" i="20" s="1"/>
  <c r="BY135" i="20"/>
  <c r="CA151" i="20"/>
  <c r="CA152" i="20" s="1"/>
  <c r="BY152" i="20"/>
  <c r="CA104" i="20"/>
  <c r="CA105" i="20" s="1"/>
  <c r="BY105" i="20"/>
  <c r="BY132" i="20"/>
  <c r="CA128" i="20"/>
  <c r="CA132" i="20" s="1"/>
  <c r="BY76" i="20"/>
  <c r="CA71" i="20"/>
  <c r="CA76" i="20" s="1"/>
  <c r="CA21" i="20"/>
  <c r="BY60" i="20"/>
  <c r="BY92" i="20" l="1"/>
  <c r="CA91" i="20"/>
  <c r="CA92" i="20" s="1"/>
  <c r="CA13" i="20"/>
  <c r="CA14" i="20" s="1"/>
  <c r="BY14" i="20"/>
  <c r="BX110" i="20"/>
  <c r="BX156" i="20" s="1"/>
  <c r="CA136" i="20"/>
  <c r="CA140" i="20" s="1"/>
  <c r="BY140" i="20"/>
  <c r="CA83" i="20"/>
  <c r="CA84" i="20" s="1"/>
  <c r="BY84" i="20"/>
  <c r="CA60" i="20"/>
  <c r="CA108" i="20" l="1"/>
  <c r="CA110" i="20" s="1"/>
  <c r="BY110" i="20"/>
  <c r="BY156" i="20" s="1"/>
  <c r="CA156" i="20" l="1"/>
</calcChain>
</file>

<file path=xl/comments1.xml><?xml version="1.0" encoding="utf-8"?>
<comments xmlns="http://schemas.openxmlformats.org/spreadsheetml/2006/main">
  <authors>
    <author>GUILHERME DE OLIVEIRA FARIA</author>
  </authors>
  <commentList>
    <comment ref="D82" authorId="0" shapeId="0">
      <text>
        <r>
          <rPr>
            <b/>
            <sz val="9"/>
            <color indexed="10"/>
            <rFont val="Segoe UI"/>
            <family val="2"/>
          </rPr>
          <t xml:space="preserve">SEMPRE INFORMAR DATA DE INÍCIO </t>
        </r>
      </text>
    </comment>
    <comment ref="D84" authorId="0" shapeId="0">
      <text>
        <r>
          <rPr>
            <b/>
            <sz val="9"/>
            <color indexed="10"/>
            <rFont val="Segoe UI"/>
            <family val="2"/>
          </rPr>
          <t>SEMPRE INFORMAR DATA DE INÍCIO DO AFASTAMENTO</t>
        </r>
      </text>
    </comment>
    <comment ref="H84" authorId="0" shapeId="0">
      <text>
        <r>
          <rPr>
            <b/>
            <sz val="9"/>
            <color indexed="10"/>
            <rFont val="Segoe UI"/>
            <family val="2"/>
          </rPr>
          <t>SEMPRE INFORMAR DATA DE INÍCIO DO AFASTAMENTO</t>
        </r>
      </text>
    </comment>
    <comment ref="D86" authorId="0" shapeId="0">
      <text>
        <r>
          <rPr>
            <b/>
            <sz val="9"/>
            <color indexed="10"/>
            <rFont val="Segoe UI"/>
            <family val="2"/>
          </rPr>
          <t>SEMPRE INFORMAR DATA DE INÍCIO NA PGJ E DATA DE SAÍDA</t>
        </r>
      </text>
    </comment>
    <comment ref="E86" authorId="0" shapeId="0">
      <text>
        <r>
          <rPr>
            <b/>
            <sz val="9"/>
            <color indexed="10"/>
            <rFont val="Segoe UI"/>
            <family val="2"/>
          </rPr>
          <t>SEMPRE INFORMAR DATA DE INICIO</t>
        </r>
      </text>
    </comment>
    <comment ref="H86" authorId="0" shapeId="0">
      <text>
        <r>
          <rPr>
            <b/>
            <sz val="9"/>
            <color indexed="10"/>
            <rFont val="Segoe UI"/>
            <family val="2"/>
          </rPr>
          <t>SEMPRE INFORMAR DATA DE INÍCIO NA PGJ E DATA DE SAÍDA</t>
        </r>
      </text>
    </comment>
    <comment ref="D88" authorId="0" shapeId="0">
      <text>
        <r>
          <rPr>
            <b/>
            <sz val="9"/>
            <color indexed="10"/>
            <rFont val="Segoe UI"/>
            <family val="2"/>
          </rPr>
          <t>SEMPRE INFORMAR DATA DE INÍCIO E DATA DE RETORNO DAS FÉRIAS</t>
        </r>
      </text>
    </comment>
  </commentList>
</comments>
</file>

<file path=xl/comments2.xml><?xml version="1.0" encoding="utf-8"?>
<comments xmlns="http://schemas.openxmlformats.org/spreadsheetml/2006/main">
  <authors>
    <author>ANA REGINA RIBEIRO</author>
  </authors>
  <commentList>
    <comment ref="J7" authorId="0" shapeId="0">
      <text>
        <r>
          <rPr>
            <b/>
            <sz val="9"/>
            <color indexed="81"/>
            <rFont val="Segoe UI"/>
            <family val="2"/>
          </rPr>
          <t>PGJ:</t>
        </r>
        <r>
          <rPr>
            <sz val="9"/>
            <color indexed="81"/>
            <rFont val="Segoe UI"/>
            <family val="2"/>
          </rPr>
          <t xml:space="preserve">
Pode-se trazer quantidade de dias para fins de Conta Vinculada do respectivo mês da repactuação.</t>
        </r>
      </text>
    </comment>
  </commentList>
</comments>
</file>

<file path=xl/connections.xml><?xml version="1.0" encoding="utf-8"?>
<connections xmlns="http://schemas.openxmlformats.org/spreadsheetml/2006/main">
  <connection id="1" keepAlive="1" name="ThisWorkbookDataModel" description="Modelo de Dados" type="5" refreshedVersion="4" minRefreshableVersion="4" background="1" saveData="1">
    <dbPr connection="Data Model Connection" command="Model" commandType="1"/>
    <olapPr sendLocale="1" rowDrillCount="1000"/>
  </connection>
</connections>
</file>

<file path=xl/sharedStrings.xml><?xml version="1.0" encoding="utf-8"?>
<sst xmlns="http://schemas.openxmlformats.org/spreadsheetml/2006/main" count="11755" uniqueCount="4063">
  <si>
    <t>MOTORISTA</t>
  </si>
  <si>
    <t>CARGO</t>
  </si>
  <si>
    <t>TOTAL</t>
  </si>
  <si>
    <t>ANTONIO PEREIRA DE RAMOS</t>
  </si>
  <si>
    <t>PGJ/MG - EDIFICIO SEDE</t>
  </si>
  <si>
    <t>CARLOS FERREIRA DA SILVA</t>
  </si>
  <si>
    <t>CELSO FERREIRA DIAS</t>
  </si>
  <si>
    <t>CLAUDINEI ANUNCIATO LOPES</t>
  </si>
  <si>
    <t>CRISTIANO DOS REIS LOPES</t>
  </si>
  <si>
    <t>EDER DE OLIVEIRA MARQUES</t>
  </si>
  <si>
    <t>EDILSON SOARES DOS REIS</t>
  </si>
  <si>
    <t>EDSON LEONIDAS DOS SANTOS</t>
  </si>
  <si>
    <t>EDUARDO GONCALVES COSTA</t>
  </si>
  <si>
    <t>ERLON SANTOS LIMA</t>
  </si>
  <si>
    <t>FLAVIO ANDRADE SILVA</t>
  </si>
  <si>
    <t>GERALDO MOURA DE SOUZA</t>
  </si>
  <si>
    <t>GUSTAVO FRANKLIN SILVA</t>
  </si>
  <si>
    <t>ISMAR BORGES ROCHA</t>
  </si>
  <si>
    <t>JOSE CLARINDO PEREIRA</t>
  </si>
  <si>
    <t>JOSE NATO PEREIRA</t>
  </si>
  <si>
    <t>JOSE RODRIGUES TERCEIRO</t>
  </si>
  <si>
    <t>JUAREZ DA SILVA CHAVES</t>
  </si>
  <si>
    <t>KLEBER EVANGELISTA MOTA</t>
  </si>
  <si>
    <t>LEONARDO MARTINS DE OLIVEIRA</t>
  </si>
  <si>
    <t>LEONARDO REIS VICENTE</t>
  </si>
  <si>
    <t>LUCIANO MATIAS</t>
  </si>
  <si>
    <t>LUIZ CARLOS GOMES MARCACHINI</t>
  </si>
  <si>
    <t>MARCO ANTONIO ANDRADE</t>
  </si>
  <si>
    <t>MAURO BRAULIO DA CRUZ</t>
  </si>
  <si>
    <t>MAURO DOS SANTOS TEIXEIRA</t>
  </si>
  <si>
    <t>MOACIR PARDINHO CARDOSO</t>
  </si>
  <si>
    <t>NILSON SABINO DE MOURA</t>
  </si>
  <si>
    <t>PAULO SERGIO GAZZONI</t>
  </si>
  <si>
    <t>REGINALDO FRANCA CORDEIRO</t>
  </si>
  <si>
    <t>REINALDO VIEIRA DOS SANTOS</t>
  </si>
  <si>
    <t>RICARDO HELBERT ROCHA</t>
  </si>
  <si>
    <t>SEBASTIAO EVANGELISTA SODRE</t>
  </si>
  <si>
    <t>SIDNEI BENTO DA COSTA</t>
  </si>
  <si>
    <t>TARCISIO SILVA ALTINO</t>
  </si>
  <si>
    <t>VALDEIR VALENTIN PEREIRA</t>
  </si>
  <si>
    <t>VANDER DE OLIVEIRA SOARES</t>
  </si>
  <si>
    <t>WALDECI PEREIRA DE ALMEIDA</t>
  </si>
  <si>
    <t>WANTUIL FRANCISCO DOS SANTOS</t>
  </si>
  <si>
    <t>WEBER ADRIANO PEREIRA</t>
  </si>
  <si>
    <t>WEBER SILVA GONCALVES</t>
  </si>
  <si>
    <t>CHAPA</t>
  </si>
  <si>
    <t>CARLOS AUGUSTO LUCON GARCIA</t>
  </si>
  <si>
    <t>PGJ/MG - BARBACENA</t>
  </si>
  <si>
    <t>DANIEL RODRIGUES BRAGA</t>
  </si>
  <si>
    <t>PGJ/MG - BETIM</t>
  </si>
  <si>
    <t>WILSON JOSE DOURADO DE ANDRADE JUNIOR</t>
  </si>
  <si>
    <t>PGJ/MG - CONSELHEIRO LAFAIETE</t>
  </si>
  <si>
    <t>LEONARDO ALVES DE OLIVEIRA</t>
  </si>
  <si>
    <t>PGJ/MG - CONTAGEM</t>
  </si>
  <si>
    <t>SIRIO FRANCISCO DE ANDRADE</t>
  </si>
  <si>
    <t>EUROTIDES NOVAES DOS SANTOS</t>
  </si>
  <si>
    <t>PGJ/MG - DIVINOPOLIS</t>
  </si>
  <si>
    <t>GERALDO ANTUNES DA SILVA FILHO</t>
  </si>
  <si>
    <t>DANIEL MENDES ALVES</t>
  </si>
  <si>
    <t>EVANDRO DE OLIVEIRA BERNARDO</t>
  </si>
  <si>
    <t>GELBSON LUIZ BATISTA ARAUJO</t>
  </si>
  <si>
    <t>PGJ/MG - JUIZ DE FORA</t>
  </si>
  <si>
    <t>JULIO CESAR FERNANDES</t>
  </si>
  <si>
    <t>DECIO ARNALDO DA SILVA</t>
  </si>
  <si>
    <t>PGJ/MG - LAVRAS</t>
  </si>
  <si>
    <t>CRISTIANO SILVA DE SOUZA</t>
  </si>
  <si>
    <t>PGJ/MG - MONTES CLAROS</t>
  </si>
  <si>
    <t>HERBERT CRISTINO DE SOUZA MOURA</t>
  </si>
  <si>
    <t>MARCUS ANTONIO DE CARVALHO</t>
  </si>
  <si>
    <t>GLAYSON DE PAULO PEGO</t>
  </si>
  <si>
    <t>PGJ/MG - NOVA LIMA</t>
  </si>
  <si>
    <t>LEANDRO MORAIS VIEIRA</t>
  </si>
  <si>
    <t>PGJ/MG - PASSOS</t>
  </si>
  <si>
    <t>CLEUSON ALVES SOARES</t>
  </si>
  <si>
    <t>PGJ/MG - PATOS DE MINAS</t>
  </si>
  <si>
    <t>JAQUES CORREA DE OLIVEIRA</t>
  </si>
  <si>
    <t>ROSEMAR BENEDITO VIEIRA</t>
  </si>
  <si>
    <t>PGJ/MG - POCOS DE CALDAS</t>
  </si>
  <si>
    <t>IVANIL BRITO</t>
  </si>
  <si>
    <t>PGJ/MG - POUSO ALEGRE</t>
  </si>
  <si>
    <t>LUIZ CARLOS NEVES</t>
  </si>
  <si>
    <t>PGJ/MG - RIBEIRAO DAS NEVES</t>
  </si>
  <si>
    <t>PGJ/MG - SAO JOAO DEL REY</t>
  </si>
  <si>
    <t>AGUSTAVO PEREIRA DA SILVA</t>
  </si>
  <si>
    <t>PGJ/MG - TEOFILO OTONI</t>
  </si>
  <si>
    <t>JESUS DE DEUS FERREIRA CORREIA</t>
  </si>
  <si>
    <t>MOZART COLARES GODINHO</t>
  </si>
  <si>
    <t>ANTONIO CARLOS NEVES</t>
  </si>
  <si>
    <t>PGJ/MG - UBA</t>
  </si>
  <si>
    <t>ALEX BERNARDES</t>
  </si>
  <si>
    <t>PGJ/MG - UBERABA</t>
  </si>
  <si>
    <t>GETULIO COELHO ASSUNCAO FILHO</t>
  </si>
  <si>
    <t>CLAUDIR KILIAN DE PAULA</t>
  </si>
  <si>
    <t>PGJ/MG - UBERLANDIA</t>
  </si>
  <si>
    <t>ROBERTO JUVENCINO</t>
  </si>
  <si>
    <t>SERGIO VARGAS DA SILVA</t>
  </si>
  <si>
    <t>ROSEMAR ANTONIO DOS SANTOS</t>
  </si>
  <si>
    <t>VANDEIR ANTONIO DA SILVA</t>
  </si>
  <si>
    <t>FERNANDO DE ALMEIDA SOUSA</t>
  </si>
  <si>
    <t>PGJ/MG - VESPASIANO</t>
  </si>
  <si>
    <t>Referência do Funcionário</t>
  </si>
  <si>
    <t>Chapa</t>
  </si>
  <si>
    <t>Nome da pessoa</t>
  </si>
  <si>
    <t>Contrato da sqa da pessoa</t>
  </si>
  <si>
    <t>Id da estrutura</t>
  </si>
  <si>
    <t>Nome da estrutura organizacional</t>
  </si>
  <si>
    <t>Salário</t>
  </si>
  <si>
    <t>Código do cargo do funcionário</t>
  </si>
  <si>
    <t>Nome do cargo</t>
  </si>
  <si>
    <t>Data de admissão</t>
  </si>
  <si>
    <t>Data de demissão</t>
  </si>
  <si>
    <t>SERVENTE</t>
  </si>
  <si>
    <t>Demitido</t>
  </si>
  <si>
    <t>PORTEIRO</t>
  </si>
  <si>
    <t>010100422</t>
  </si>
  <si>
    <t>01.01.094.04.0.001.001</t>
  </si>
  <si>
    <t>PGJ/MG - PILOTIS CAMPOMIZZI</t>
  </si>
  <si>
    <t>AUXILIAR ADMINISTRATIVO</t>
  </si>
  <si>
    <t>E4L</t>
  </si>
  <si>
    <t>ADEJAIR FABIO FERREIRA BESSA</t>
  </si>
  <si>
    <t>01.01.094.04.0.701.001</t>
  </si>
  <si>
    <t>PGJ/MG - ARAXA</t>
  </si>
  <si>
    <t>AUXILIAR DE SERVICOS GERAIS</t>
  </si>
  <si>
    <t>WU</t>
  </si>
  <si>
    <t>01.01.094.04.0.710.001</t>
  </si>
  <si>
    <t>PGJ/MG - FRUTAL</t>
  </si>
  <si>
    <t>63818</t>
  </si>
  <si>
    <t>64505</t>
  </si>
  <si>
    <t>ADELINA BATISTA DOS SANTOS</t>
  </si>
  <si>
    <t>SERVENTE DE LIMPEZA</t>
  </si>
  <si>
    <t>ADELSON BUENO</t>
  </si>
  <si>
    <t>01.01.094.04.0.001.018</t>
  </si>
  <si>
    <t>PGJ/MG - DEPOSITO MIP</t>
  </si>
  <si>
    <t>DIGITADOR</t>
  </si>
  <si>
    <t>ADELSON GOMES DE ALMEIDA</t>
  </si>
  <si>
    <t>01.01.094.04.0.434.001</t>
  </si>
  <si>
    <t>01.01.094.04.0.420.001</t>
  </si>
  <si>
    <t>PGJ/MG - JANUARIA</t>
  </si>
  <si>
    <t>57613</t>
  </si>
  <si>
    <t>ELETRICISTA</t>
  </si>
  <si>
    <t>ADENILDA ROSSATI PEREIRA</t>
  </si>
  <si>
    <t>ADILSON LUCIO DA SILVA</t>
  </si>
  <si>
    <t>01.01.094.04.0.001.020</t>
  </si>
  <si>
    <t>PGJ/MG - ARQUIVO BIBLIOTECA</t>
  </si>
  <si>
    <t>29442</t>
  </si>
  <si>
    <t>ADIRSON SANA DE ALVARENGA</t>
  </si>
  <si>
    <t>01.01.094.04.0.001.004</t>
  </si>
  <si>
    <t>ALMOXARIFE</t>
  </si>
  <si>
    <t>72246</t>
  </si>
  <si>
    <t>ADRIANA APARECIDA DOS SANTOS RODRIGUES</t>
  </si>
  <si>
    <t>01.01.094.04.0.222.001</t>
  </si>
  <si>
    <t>PGJ/MG - PITANGUI</t>
  </si>
  <si>
    <t>ADRIANA DAS GRACAS BATISTA MARTINS</t>
  </si>
  <si>
    <t>01.01.094.01.0.001.040</t>
  </si>
  <si>
    <t>PROC.GERAL DE JUSTICA RESERVAS/FERISTAS/APOIO</t>
  </si>
  <si>
    <t>RECEPCIONISTA</t>
  </si>
  <si>
    <t>ADRIANA EUSTAQUIA TEIXEIRA CAETANO</t>
  </si>
  <si>
    <t>40912</t>
  </si>
  <si>
    <t>ADRIANA MARCIA DOS SANTOS</t>
  </si>
  <si>
    <t>55810</t>
  </si>
  <si>
    <t>ADRIANE APARECIDA BARBOSA TEIXEIRA</t>
  </si>
  <si>
    <t>01.01.094.04.0.512.001</t>
  </si>
  <si>
    <t>PGJ/MG - CAMPO BELO</t>
  </si>
  <si>
    <t>ADRIANO MARTINS PEREIRA</t>
  </si>
  <si>
    <t>01.01.094.04.0.001.009</t>
  </si>
  <si>
    <t>PGJ/MG - BARRO PRETO / 703</t>
  </si>
  <si>
    <t>LIMPADOR DE VIDROS</t>
  </si>
  <si>
    <t>B3L</t>
  </si>
  <si>
    <t>ADRIANO SILVA SOUZA</t>
  </si>
  <si>
    <t>01.01.094.04.0.425.001</t>
  </si>
  <si>
    <t>57900</t>
  </si>
  <si>
    <t>ADRIANO SIMAO SILVEIRA</t>
  </si>
  <si>
    <t>01.01.094.04.0.518.001</t>
  </si>
  <si>
    <t>PGJ/MG - ITAJUBA</t>
  </si>
  <si>
    <t>AEDSON ALVES GIL</t>
  </si>
  <si>
    <t>52307</t>
  </si>
  <si>
    <t>AEDSON GERALDO VIEIRA MOURA</t>
  </si>
  <si>
    <t>AFONSO CARLOS GOMES</t>
  </si>
  <si>
    <t>01.01.094.04.0.001.011</t>
  </si>
  <si>
    <t>PGJ/MG - INFANCIA E JUVENTUDE</t>
  </si>
  <si>
    <t>AGNALDO MARINHO DA SILVA</t>
  </si>
  <si>
    <t>01.01.094.04.0.621.001</t>
  </si>
  <si>
    <t>PGJ/MG - PONTE NOVA</t>
  </si>
  <si>
    <t>LJ</t>
  </si>
  <si>
    <t>AGOSTINHO CEZAR DE BRITO</t>
  </si>
  <si>
    <t>01.01.094.04.0.126.001</t>
  </si>
  <si>
    <t>01.01.094.04.0.119.001</t>
  </si>
  <si>
    <t>74001</t>
  </si>
  <si>
    <t>010100464</t>
  </si>
  <si>
    <t>01.01.094.01.3.434.001</t>
  </si>
  <si>
    <t>PGJ/MG DA INFA E JUVENTUDE TEOFILO OTONI - MOTORISTAS</t>
  </si>
  <si>
    <t>57503</t>
  </si>
  <si>
    <t>AIDA GONCALVES DA MOTA</t>
  </si>
  <si>
    <t>AC3</t>
  </si>
  <si>
    <t>01.01.094.01.3.612.001</t>
  </si>
  <si>
    <t>PGJ/MG PROMOTORIA DE JUIZ DE FORA - MOTORISTAS</t>
  </si>
  <si>
    <t>ALAN BARBOSA MARQUES</t>
  </si>
  <si>
    <t>01.01.094.04.0.402.001</t>
  </si>
  <si>
    <t>PGJ/MG - ALMENARA</t>
  </si>
  <si>
    <t>69418</t>
  </si>
  <si>
    <t>ALAN CRISTIAN LACERDA DE PAULA</t>
  </si>
  <si>
    <t>01.01.094.04.0.541.001</t>
  </si>
  <si>
    <t>PGJ/MG - VARGINHA</t>
  </si>
  <si>
    <t>TELEFONISTA</t>
  </si>
  <si>
    <t>ALDEMAR CORDEIRO MENDES</t>
  </si>
  <si>
    <t>MANOBRISTA</t>
  </si>
  <si>
    <t>56466</t>
  </si>
  <si>
    <t>ALESSANDRA APARECIDA DE SOUZA ALVES</t>
  </si>
  <si>
    <t>01.01.094.04.0.524.001</t>
  </si>
  <si>
    <t>PGJ/MG - MACHADO</t>
  </si>
  <si>
    <t>ALESSANDRA APARECIDA SANTOS</t>
  </si>
  <si>
    <t>01.01.094.04.0.727.001</t>
  </si>
  <si>
    <t>01.01.094.04.0.001.014</t>
  </si>
  <si>
    <t>PGJ/MG - RAJA GABAGLIA/BENS PATRIMONIAIS</t>
  </si>
  <si>
    <t>01.01.094.04.0.001.013</t>
  </si>
  <si>
    <t>PGJ/MG - FORUM</t>
  </si>
  <si>
    <t>01.01.094.01.3.726.001</t>
  </si>
  <si>
    <t>PGJ/MG PROMOTORIA DE UBERABA - MOTORISTAS</t>
  </si>
  <si>
    <t>ALEXANDER LEONARDO FORTES FERREIRA</t>
  </si>
  <si>
    <t>69401</t>
  </si>
  <si>
    <t>01.01.094.04.0.612.001</t>
  </si>
  <si>
    <t>01.01.094.04.0.001.005</t>
  </si>
  <si>
    <t>PGJ/MG - ESTACIONAMENTO SEDE</t>
  </si>
  <si>
    <t>ALEXANDRE DE OLIVEIRA HONORATO</t>
  </si>
  <si>
    <t>ALEXANDRE LUIZ DE FREITAS</t>
  </si>
  <si>
    <t>01.01.094.04.0.001.017</t>
  </si>
  <si>
    <t>PGJ/MG - PATRIMONIO CULTURAL</t>
  </si>
  <si>
    <t>AUX MANUTENCAO PREDIAL</t>
  </si>
  <si>
    <t>69443</t>
  </si>
  <si>
    <t>ALEXSANDER DOS REIS SILVA</t>
  </si>
  <si>
    <t>01.01.094.04.0.628.001</t>
  </si>
  <si>
    <t>LAVADOR DE VEICULOS</t>
  </si>
  <si>
    <t>58290</t>
  </si>
  <si>
    <t>ALINE FERREIRA SANTOS VIEIRA MAIA</t>
  </si>
  <si>
    <t>01.01.094.04.0.001.015</t>
  </si>
  <si>
    <t>PGJ/MG - INJU CIA</t>
  </si>
  <si>
    <t>ALINE GRAZIELLE DIAS SALDANHA</t>
  </si>
  <si>
    <t>47004</t>
  </si>
  <si>
    <t>29447</t>
  </si>
  <si>
    <t>35976</t>
  </si>
  <si>
    <t>ALMIR DA SILVA</t>
  </si>
  <si>
    <t>ALTIERES PEREIRA DE OLIVEIRA</t>
  </si>
  <si>
    <t>ALZIRA JOSE DE CASTRO</t>
  </si>
  <si>
    <t>01.01.094.04.0.001.012</t>
  </si>
  <si>
    <t>PGJ/MG - AMMP</t>
  </si>
  <si>
    <t>AMALHA APARECIDA LOPES</t>
  </si>
  <si>
    <t>41028</t>
  </si>
  <si>
    <t>AMANDA DENISE GONCALVES DA SILVA</t>
  </si>
  <si>
    <t>01.01.094.04.0.001.003</t>
  </si>
  <si>
    <t>PGJ/MG - EDIFICIO JOSE CAMPOMIZZI</t>
  </si>
  <si>
    <t>01.01.094.04.0.726.001</t>
  </si>
  <si>
    <t>ANA CRISTINA ZENQUINI DE CARVALHO</t>
  </si>
  <si>
    <t>ANA GISELLE DAMASCENO PEREIRA</t>
  </si>
  <si>
    <t>01.01.094.04.0.537.001</t>
  </si>
  <si>
    <t>PGJ/MG - SAO GONCALO DO SAPUCAI</t>
  </si>
  <si>
    <t>60720</t>
  </si>
  <si>
    <t>ANA LUCIA OLIVEIRA SANTOS</t>
  </si>
  <si>
    <t>45143</t>
  </si>
  <si>
    <t>COPEIRO</t>
  </si>
  <si>
    <t>ANA LUCIA ROSA DA SILVA</t>
  </si>
  <si>
    <t>45312</t>
  </si>
  <si>
    <t>ANA MARIA DA SILVA</t>
  </si>
  <si>
    <t>ANA PAULA CRAVO SALOME</t>
  </si>
  <si>
    <t>ANA PAULA DA SILVA</t>
  </si>
  <si>
    <t>ANA PAULA DOS SANTOS BRAZ</t>
  </si>
  <si>
    <t>53887</t>
  </si>
  <si>
    <t>ANA PAULA FELIX VIANA</t>
  </si>
  <si>
    <t>57863</t>
  </si>
  <si>
    <t>ANA PAULA FERRAZ</t>
  </si>
  <si>
    <t>ANDERSON CRISPIM SIMPLICIO</t>
  </si>
  <si>
    <t>01.01.094.04.0.114.001</t>
  </si>
  <si>
    <t>ANDERSON FERNANDES VILELA</t>
  </si>
  <si>
    <t>ANDERSON LUIZ DA SILVA NASCIMENTO</t>
  </si>
  <si>
    <t>ANDERSON WALLACE ODIRLEI DOS ANJOS</t>
  </si>
  <si>
    <t>ANDRE LUIZ DOS SANTOS</t>
  </si>
  <si>
    <t>74563</t>
  </si>
  <si>
    <t>ANDREA REGINA ALVES DE OLIVEIRA CAMPOS SOUZA</t>
  </si>
  <si>
    <t>01.01.094.04.0.002.001</t>
  </si>
  <si>
    <t>E2L</t>
  </si>
  <si>
    <t>ANDREIA CRISTINA DA SILVA CRISPIM</t>
  </si>
  <si>
    <t>ANDREIA DOMINGUES AMORA OHNESORGE</t>
  </si>
  <si>
    <t>ANDREIA SILVA DA COSTA</t>
  </si>
  <si>
    <t>ASCENSORISTA</t>
  </si>
  <si>
    <t>56464</t>
  </si>
  <si>
    <t>ANDRELINA ANDRADE SANTOS</t>
  </si>
  <si>
    <t>01.01.094.04.0.500.001</t>
  </si>
  <si>
    <t>PGJ/MG - ALFENAS</t>
  </si>
  <si>
    <t>ANDRESSA FREITAS DE ALMEIDA CORREIA</t>
  </si>
  <si>
    <t>31916</t>
  </si>
  <si>
    <t>ANDREZA NAYARA MARQUES RESENDE</t>
  </si>
  <si>
    <t>69797</t>
  </si>
  <si>
    <t>ANGELA MARIA AMARAL DOMINGOS</t>
  </si>
  <si>
    <t>01.01.094.01.1.209.001</t>
  </si>
  <si>
    <t>PGJ - CLAUDIO</t>
  </si>
  <si>
    <t>ANGELA MARIA DA SILVA</t>
  </si>
  <si>
    <t>53799</t>
  </si>
  <si>
    <t>ANGELA MARIA SANTOS DE ASSIS</t>
  </si>
  <si>
    <t>ANGELA RAMOS LOPES DA SILVA</t>
  </si>
  <si>
    <t>01.01.094.01.3.630.001</t>
  </si>
  <si>
    <t>PGJ/MG COMARCA DE UBA - MOTORISTAS</t>
  </si>
  <si>
    <t>ANTONIO CARMELITO DOS SANTOS</t>
  </si>
  <si>
    <t>ANTONIO FERREIRA DA ROCHA</t>
  </si>
  <si>
    <t>73896</t>
  </si>
  <si>
    <t>ANTONIO FRANCISCO DE PAULA</t>
  </si>
  <si>
    <t>01.01.094.04.0.534.001</t>
  </si>
  <si>
    <t>ANTONIO JOSE DE SOUSA</t>
  </si>
  <si>
    <t>01.01.094.01.3.001.001</t>
  </si>
  <si>
    <t>PGJ/MG ALVARES CABRAL - MOTORISTAS</t>
  </si>
  <si>
    <t>MARCENEIRO</t>
  </si>
  <si>
    <t>ANTONIO SEVERINO MENDES</t>
  </si>
  <si>
    <t>32742</t>
  </si>
  <si>
    <t>39261</t>
  </si>
  <si>
    <t>APARECIDA DA CONCEICAO SANTOS</t>
  </si>
  <si>
    <t>APARECIDA DE FATIMA DA SILVA VIEIRA</t>
  </si>
  <si>
    <t>01.01.094.04.0.124.001</t>
  </si>
  <si>
    <t>PGJ/MG - SETE LAGOAS</t>
  </si>
  <si>
    <t>APARECIDA MARIA DOS SANTOS</t>
  </si>
  <si>
    <t>APARECIDA MARIA LEITE SANTOS</t>
  </si>
  <si>
    <t>APARECIDA ROSA DE LIMA</t>
  </si>
  <si>
    <t>APARECIDA SILVA</t>
  </si>
  <si>
    <t>67954</t>
  </si>
  <si>
    <t>APARECIDA TEIXEIRA RESENDE</t>
  </si>
  <si>
    <t>01.01.094.04.0.912.001</t>
  </si>
  <si>
    <t>PGJ/MG - NOVA PONTE</t>
  </si>
  <si>
    <t>AA1</t>
  </si>
  <si>
    <t>ARISTOTELES SANTOS VIEIRA</t>
  </si>
  <si>
    <t>01.01.094.04.0.308.001</t>
  </si>
  <si>
    <t>PGJ/MG - GOVERNADOR VALADARES - CENTRO</t>
  </si>
  <si>
    <t>49925</t>
  </si>
  <si>
    <t>VA</t>
  </si>
  <si>
    <t>ARLETE MARIA DA SILVA</t>
  </si>
  <si>
    <t>01.01.094.04.0.001.019</t>
  </si>
  <si>
    <t>PGJ/MG - CAO SAUDE</t>
  </si>
  <si>
    <t>01.01.094.04.0.631.001</t>
  </si>
  <si>
    <t>PGJ/MG - VICOSA</t>
  </si>
  <si>
    <t>46144</t>
  </si>
  <si>
    <t>AUREA SANDRA DE MATOS</t>
  </si>
  <si>
    <t>PGJ/MG - ARACUAI</t>
  </si>
  <si>
    <t>54386</t>
  </si>
  <si>
    <t>01.01.094.04.0.403.001</t>
  </si>
  <si>
    <t>BEATRIZ DEBORA DOS SANTOS</t>
  </si>
  <si>
    <t>47533</t>
  </si>
  <si>
    <t>BEATRIZ FRANCA DA SILVA</t>
  </si>
  <si>
    <t>01.01.094.04.0.116.001</t>
  </si>
  <si>
    <t>PGJ/MG - PEDRO LEOPOLDO</t>
  </si>
  <si>
    <t>61456</t>
  </si>
  <si>
    <t>BERNADETE LINO MACHADO</t>
  </si>
  <si>
    <t>01.01.094.04.0.717.001</t>
  </si>
  <si>
    <t>BETINA GOMES DOS SANTOS CORDEIRO</t>
  </si>
  <si>
    <t>01.01.094.01.3.609.001</t>
  </si>
  <si>
    <t>PGJ/MG COMARCA  DE CONSELHEIRO LAFAIETE - MOTORISTAS</t>
  </si>
  <si>
    <t>71004</t>
  </si>
  <si>
    <t>BRUNA APARECIDA DA SILVA</t>
  </si>
  <si>
    <t>69814</t>
  </si>
  <si>
    <t>BRUNA GOMES LOPES</t>
  </si>
  <si>
    <t>01.01.094.04.0.100.001</t>
  </si>
  <si>
    <t>CAMILA SILVA NASCIMENTO</t>
  </si>
  <si>
    <t>01.01.094.04.0.108.001</t>
  </si>
  <si>
    <t>PGJ/MG - ITAUNA</t>
  </si>
  <si>
    <t>67062</t>
  </si>
  <si>
    <t>50512</t>
  </si>
  <si>
    <t>CARLA SANTANA RODRIGUES FERREIRA</t>
  </si>
  <si>
    <t>PROCURADORIA GERAL JUSTICA - PROMOTORIA BARBACENA</t>
  </si>
  <si>
    <t>73993</t>
  </si>
  <si>
    <t>01.01.094.01.3.602.001</t>
  </si>
  <si>
    <t>PGJ/MG PROMOTORIA DE BARBACENA - MOTORISTAS</t>
  </si>
  <si>
    <t>01.01.094.04.0.001.007</t>
  </si>
  <si>
    <t>PGJ/MG - EIFICIO CARLOS BRANDAO</t>
  </si>
  <si>
    <t>CARLOS EMIDIO PEDRO</t>
  </si>
  <si>
    <t>57707</t>
  </si>
  <si>
    <t>CARLOS HENRIQUE DA SILVA</t>
  </si>
  <si>
    <t>CARLOS PEREIRA DA ROCHA</t>
  </si>
  <si>
    <t>60006</t>
  </si>
  <si>
    <t>CARMEM LUCIA NOGUEIRA DE ARRUDA</t>
  </si>
  <si>
    <t>01.01.094.04.0.311.001</t>
  </si>
  <si>
    <t>PGJ/MG - IPATINGA</t>
  </si>
  <si>
    <t>73425</t>
  </si>
  <si>
    <t>CASSIA VAZ DE AZEVEDO LISBOA MARZANO</t>
  </si>
  <si>
    <t>CATIA GONCALVES AUGUSTO LORIN</t>
  </si>
  <si>
    <t>01.01.094.04.0.303.001</t>
  </si>
  <si>
    <t>PGJ/MG - CARATINGA</t>
  </si>
  <si>
    <t>CELINA RODRIGUES DIAS</t>
  </si>
  <si>
    <t>29397</t>
  </si>
  <si>
    <t>CELITO NUNES DA CRUZ</t>
  </si>
  <si>
    <t>CELMA TEREZINHA PIRES BEDIM</t>
  </si>
  <si>
    <t>01.01.094.04.0.613.001</t>
  </si>
  <si>
    <t>PGJ/MG - LEOPOLDINA</t>
  </si>
  <si>
    <t>CELSO PAULO CORREIA</t>
  </si>
  <si>
    <t>01.01.094.04.0.608.001</t>
  </si>
  <si>
    <t>PGJ/MG - CONGONHAS</t>
  </si>
  <si>
    <t>CELSO SOTERO DA SILVA</t>
  </si>
  <si>
    <t>CESAR AGOSTINHO DOS SANTOS</t>
  </si>
  <si>
    <t>01.01.094.04.0.411.001</t>
  </si>
  <si>
    <t>PGJ/MG - DIAMANTINA</t>
  </si>
  <si>
    <t>01.01.094.04.0.226.001</t>
  </si>
  <si>
    <t>PGJ/MG - SANTO ANTONIO DO MONTE</t>
  </si>
  <si>
    <t>01.01.094.04.0.415.001</t>
  </si>
  <si>
    <t>PGJ/MG - ITABIRA</t>
  </si>
  <si>
    <t>CILMARI BARROS HITO</t>
  </si>
  <si>
    <t>CINTHIA LEMOS DA SILVA</t>
  </si>
  <si>
    <t>35939</t>
  </si>
  <si>
    <t>CLAITON FERNANDES GUIMARAES</t>
  </si>
  <si>
    <t>CLARE VENINA GRANT MAGALHAES ROSA</t>
  </si>
  <si>
    <t>01.01.094.04.0.001.002</t>
  </si>
  <si>
    <t>PGJ/MG - ESTACIONAMENTO CAMPOMIZZI</t>
  </si>
  <si>
    <t>CLARINDO CARDOSO DE LIMA</t>
  </si>
  <si>
    <t>VIGIA</t>
  </si>
  <si>
    <t>CLAUDETE RIBEIRO</t>
  </si>
  <si>
    <t>57499</t>
  </si>
  <si>
    <t>CLAUDIA APARECIDA COSTA</t>
  </si>
  <si>
    <t>01.01.094.04.0.722.001</t>
  </si>
  <si>
    <t>PGJ/MG - SANTA VITORIA</t>
  </si>
  <si>
    <t>CLAUDIA APARECIDA OLIVEIRA BATISTA DE SOUSA</t>
  </si>
  <si>
    <t>CLAUDIO DE ARAUJO COSTA</t>
  </si>
  <si>
    <t>CLAUDIO ROBERTO MARTINS BRUNO</t>
  </si>
  <si>
    <t>PEDREIRO</t>
  </si>
  <si>
    <t>01.01.094.01.3.727.001</t>
  </si>
  <si>
    <t>PGJ/MG COMARCA DE UBERLANDIA - MOTORISTAS</t>
  </si>
  <si>
    <t>CLEIDE CONCEICAO CAMARGOS DE OLIVEIRA</t>
  </si>
  <si>
    <t>CLESIO DIAS DE AMORIM</t>
  </si>
  <si>
    <t>CARREGADOR</t>
  </si>
  <si>
    <t>01.01.094.01.3.717.001</t>
  </si>
  <si>
    <t>PGJ/MG PROMOTORIA DE PATOS DE MINAS - MOTORISTAS</t>
  </si>
  <si>
    <t>46583</t>
  </si>
  <si>
    <t>CREUSA COELHO DA SILVA</t>
  </si>
  <si>
    <t>CREUSA GONCALVES RODRIGUES MOURA</t>
  </si>
  <si>
    <t>50362</t>
  </si>
  <si>
    <t>CRISTIANA COELHO SOARES</t>
  </si>
  <si>
    <t>01.01.094.04.0.111.001</t>
  </si>
  <si>
    <t>PGJ/MG - MATEUS LEME</t>
  </si>
  <si>
    <t>39252</t>
  </si>
  <si>
    <t>CRISTIANE DE JESUS GONCALVES BATISTA</t>
  </si>
  <si>
    <t>CRISTIANE LIMA CAETANO SOARES</t>
  </si>
  <si>
    <t>45435</t>
  </si>
  <si>
    <t>CRISTIANE LIMA DE OLIVEIRA</t>
  </si>
  <si>
    <t>01.01.094.04.0.400.001</t>
  </si>
  <si>
    <t>PGJ/MG - AGUAS FORMOSAS</t>
  </si>
  <si>
    <t>45770</t>
  </si>
  <si>
    <t>01.01.094.04.0.001.008</t>
  </si>
  <si>
    <t>PGJ/MG - PROCON DIAS ADORNO</t>
  </si>
  <si>
    <t>CRISTIANO DE FREITAS VILASBOA</t>
  </si>
  <si>
    <t>01.01.094.01.3.425.001</t>
  </si>
  <si>
    <t>PGJ/MG PROMOTORIA DE MONTES CLAROS - MOTORISTAS</t>
  </si>
  <si>
    <t>51723</t>
  </si>
  <si>
    <t>CRISTINA MIRANDA SILVA</t>
  </si>
  <si>
    <t>NO</t>
  </si>
  <si>
    <t>CYNTHIA APARECIDA MORAES</t>
  </si>
  <si>
    <t>DAIANE FARIA PEREZ</t>
  </si>
  <si>
    <t>01.01.094.04.0.725.001</t>
  </si>
  <si>
    <t>PGJ/MG - TUPACIGUARA</t>
  </si>
  <si>
    <t>01.01.094.04.0.711.001</t>
  </si>
  <si>
    <t>PGJ/MG - TRES PONTAS</t>
  </si>
  <si>
    <t>68078</t>
  </si>
  <si>
    <t>DANIEL MARCOS DOS SANTOS</t>
  </si>
  <si>
    <t>01.01.094.04.0.609.001</t>
  </si>
  <si>
    <t>73994</t>
  </si>
  <si>
    <t>01.01.094.01.3.308.001</t>
  </si>
  <si>
    <t>PGJ/MG PROMOTORIA GOVERNADOR VALADARES - MOTORISTAS</t>
  </si>
  <si>
    <t>GARCOM</t>
  </si>
  <si>
    <t>01.01.094.01.3.100.001</t>
  </si>
  <si>
    <t>PGJ/MG BETIM - MOTORISTAS</t>
  </si>
  <si>
    <t>DANIEL SILVA GONCALVES</t>
  </si>
  <si>
    <t>49887</t>
  </si>
  <si>
    <t>DANIELA MORAES BARBOSA MARTINS</t>
  </si>
  <si>
    <t>DANIELE BARBOSA OLIVEIRA</t>
  </si>
  <si>
    <t>39256</t>
  </si>
  <si>
    <t>01.01.094.04.0.620.001</t>
  </si>
  <si>
    <t>PGJ/MG - OURO PRETO</t>
  </si>
  <si>
    <t>DANUBIA DA SILVA JUSTINO</t>
  </si>
  <si>
    <t>DANUBIA MARQUES LOURENCO</t>
  </si>
  <si>
    <t>DARLAN DA SILVA ANDRADE</t>
  </si>
  <si>
    <t>SUPERVISOR DE MANUTENCAO DE VEICULOS</t>
  </si>
  <si>
    <t>01.01.094.04.0.105.001</t>
  </si>
  <si>
    <t>PGJ/MG - IBIRITE</t>
  </si>
  <si>
    <t>DAVIDSON SAMIR SILVA ALVES</t>
  </si>
  <si>
    <t>TECNICO DE MANUTENCAO ELETRONICA</t>
  </si>
  <si>
    <t>DAYANE STHEFFANY SILVA RODRIGUES</t>
  </si>
  <si>
    <t>DEBORA CRISTINA DA SILVA SANTOS</t>
  </si>
  <si>
    <t>01.01.094.01.3.523.001</t>
  </si>
  <si>
    <t>PGJ/MG PROMOTORIA DE LAVRAS - MOTORISTAS</t>
  </si>
  <si>
    <t>DEIA MAGALI PEREIRA ASSUNPCAO LOPES</t>
  </si>
  <si>
    <t>OPERADOR DE MAQUINA REPROGRAFICA</t>
  </si>
  <si>
    <t>01.01.094.03.0.001.109</t>
  </si>
  <si>
    <t>PGJ - JUIZADO CRIMINAL</t>
  </si>
  <si>
    <t>DENILZA RODRIGUES MORAES</t>
  </si>
  <si>
    <t>50624</t>
  </si>
  <si>
    <t>DIEGO CORREIA DE OLIVEIRA</t>
  </si>
  <si>
    <t>DIEGO DA CUNHA SOARES</t>
  </si>
  <si>
    <t>76157</t>
  </si>
  <si>
    <t>DIEGO RODRIGUES</t>
  </si>
  <si>
    <t>DIOLINDO PAULA DA SILVA NETO</t>
  </si>
  <si>
    <t>DIONE DA TRINDADE</t>
  </si>
  <si>
    <t>DIRLENE MARTINS BERNARDO</t>
  </si>
  <si>
    <t>01.01.094.04.0.700.001</t>
  </si>
  <si>
    <t>PGJ/MG - ARAGUARI</t>
  </si>
  <si>
    <t>57865</t>
  </si>
  <si>
    <t>JARDINEIRO</t>
  </si>
  <si>
    <t>EDER AUGUSTO FERREIRA</t>
  </si>
  <si>
    <t>58287</t>
  </si>
  <si>
    <t>EDILUCI DE FATIMA PEREIRA</t>
  </si>
  <si>
    <t>EDIMAR COELHO GUIMARAES</t>
  </si>
  <si>
    <t>EDIRLENE MARIA SILVA LOPES</t>
  </si>
  <si>
    <t>01.01.094.04.0.223.001</t>
  </si>
  <si>
    <t>PGJ/MG - PIUNHI</t>
  </si>
  <si>
    <t>EDISON EGUIMAR DE OLIVEIRA</t>
  </si>
  <si>
    <t>EDIVANIA ALEXSANDRA MARTINS VIEIRA</t>
  </si>
  <si>
    <t>EDMEA IMACULADA DE LIMA PEREIRA</t>
  </si>
  <si>
    <t>EDMIR REINALDO DO NASCIMENTO</t>
  </si>
  <si>
    <t>EDNA BONIFACIO RAMOS SILVA</t>
  </si>
  <si>
    <t>EDNA SOARES PIMENTA</t>
  </si>
  <si>
    <t>EDNALDO XAVIER DE LIMA</t>
  </si>
  <si>
    <t>EDNILSON FELIX FARIA</t>
  </si>
  <si>
    <t>EDSON CORREA DOS SANTOS</t>
  </si>
  <si>
    <t>EDUARDO CONCEICAO SILVA</t>
  </si>
  <si>
    <t>EDUARDO DE MAGALHAES</t>
  </si>
  <si>
    <t>AUXILIAR DE MANUTENCAO PREDIAL</t>
  </si>
  <si>
    <t>EDUARDO WANDERLEY CHICARINI</t>
  </si>
  <si>
    <t>42765</t>
  </si>
  <si>
    <t>52462</t>
  </si>
  <si>
    <t>ELAINE CRISTINA DE ANDRADE</t>
  </si>
  <si>
    <t>76511</t>
  </si>
  <si>
    <t>ELAINE SANTANA DE SOUZA</t>
  </si>
  <si>
    <t>58805</t>
  </si>
  <si>
    <t>01.01.094.04.0.721.001</t>
  </si>
  <si>
    <t>PGJ/MG - SACRAMENTO</t>
  </si>
  <si>
    <t>67112</t>
  </si>
  <si>
    <t>29381</t>
  </si>
  <si>
    <t>ELENISIO SILVA ALMEIDA</t>
  </si>
  <si>
    <t>46115</t>
  </si>
  <si>
    <t>ELIANA DA SILVA GONCALVES</t>
  </si>
  <si>
    <t>42576</t>
  </si>
  <si>
    <t>ELIANA DA SILVA SOUTO</t>
  </si>
  <si>
    <t>29352</t>
  </si>
  <si>
    <t>ELIAS ALVES DE AGUIAR</t>
  </si>
  <si>
    <t>ELIAS DA LUZ PEREIRA</t>
  </si>
  <si>
    <t>ELIEL EVARISTO DA SILVA</t>
  </si>
  <si>
    <t>BOMBEIRO HIDRAULICO</t>
  </si>
  <si>
    <t>01.01.094.04.0.102.001</t>
  </si>
  <si>
    <t>PGJ/MG - CAETE</t>
  </si>
  <si>
    <t>ELIETE TEIXEIRA MARQUES</t>
  </si>
  <si>
    <t>ELISABETH MIRANDA COUTINHO</t>
  </si>
  <si>
    <t>ELISANGELA COSTA MACEDO</t>
  </si>
  <si>
    <t>01.01.094.04.1.423.001</t>
  </si>
  <si>
    <t>PGJ/MG - MINAS NOVAS</t>
  </si>
  <si>
    <t>ELIZABETH MARIA DA COSTA</t>
  </si>
  <si>
    <t>70504</t>
  </si>
  <si>
    <t>ELIZANGELA APARECIDA DE PAULA OLIVEIRA</t>
  </si>
  <si>
    <t>01.01.094.04.0.606.001</t>
  </si>
  <si>
    <t>PGJ/MG - CARANGOLA</t>
  </si>
  <si>
    <t>ELIZANGELA APARECIDA PINTO</t>
  </si>
  <si>
    <t>59098</t>
  </si>
  <si>
    <t>01.01.094.04.0.419.001</t>
  </si>
  <si>
    <t>PGJ/MG - JANAUBA</t>
  </si>
  <si>
    <t>ELLEN CRISTINA BARBOSA</t>
  </si>
  <si>
    <t>ELMAR FLORES VILACA</t>
  </si>
  <si>
    <t>01.01.094.01.3.001.018</t>
  </si>
  <si>
    <t>PGJ/MG - DEPOSITO MIP MOTORISTA</t>
  </si>
  <si>
    <t>ELZA CRISTINA SALES SILVA</t>
  </si>
  <si>
    <t>01.01.094.04.1.646.001</t>
  </si>
  <si>
    <t>PGJ/MG - MIRAI</t>
  </si>
  <si>
    <t>EMANUELE CARLA PEREIRA</t>
  </si>
  <si>
    <t>EMANUELLE DE CASSIA MENDES DA SILVA</t>
  </si>
  <si>
    <t>EMILIANA FERREIRA DE LISBOA</t>
  </si>
  <si>
    <t>46146</t>
  </si>
  <si>
    <t>ERENILDE DE ALCANTARA MENDES OLIVEIRA</t>
  </si>
  <si>
    <t>01.01.094.04.0.714.001</t>
  </si>
  <si>
    <t>PGJ/MG - JOAO PINHEIRO</t>
  </si>
  <si>
    <t>67019</t>
  </si>
  <si>
    <t>ERIKA SANTANA ROLA</t>
  </si>
  <si>
    <t>01.01.094.04.0.210.001</t>
  </si>
  <si>
    <t>EUDES ARAUJO DE SOUZA</t>
  </si>
  <si>
    <t>EULER ANTONIO COSTA</t>
  </si>
  <si>
    <t>EULER JUNIO ALVES DE OLIVEIRA</t>
  </si>
  <si>
    <t>01.01.094.01.3.210.025</t>
  </si>
  <si>
    <t>PROCURADORIA GERAL JUSTICA - MOTORISTAS - DIVINOPOLIS - SUB COO</t>
  </si>
  <si>
    <t>EVA MARIA DE JESUS</t>
  </si>
  <si>
    <t>EVA PACHECO RODRIGUES DE SOUZA</t>
  </si>
  <si>
    <t>EVA SIQUEIRA DA SILVA</t>
  </si>
  <si>
    <t>EVANIL JUSTINO COSTA</t>
  </si>
  <si>
    <t>FABIANA BATISTA DE MORAIS LOPES</t>
  </si>
  <si>
    <t>FABIANA PINHEIRO DE SOUZA</t>
  </si>
  <si>
    <t>FABIANE FERREIRA ANGELINO</t>
  </si>
  <si>
    <t>FABIANO CONRADO DOS SANTOS</t>
  </si>
  <si>
    <t>FABIANO DARIO DA CUNHA</t>
  </si>
  <si>
    <t>58087</t>
  </si>
  <si>
    <t>FABIO DA SILVA CAMPOS</t>
  </si>
  <si>
    <t>FABIO DE SOUZA ALVES</t>
  </si>
  <si>
    <t>FABIO JUNIO COSTA BARREIROS</t>
  </si>
  <si>
    <t>01.01.094.04.0.712.001</t>
  </si>
  <si>
    <t>PGJ/MG - ITUIUTABA</t>
  </si>
  <si>
    <t>FARLEY DE PAULA MEIRA</t>
  </si>
  <si>
    <t>FATIMA APARECIDA ALVES</t>
  </si>
  <si>
    <t>50653</t>
  </si>
  <si>
    <t>FATIMA GUILHERMINA DE MELO GUIMARAES</t>
  </si>
  <si>
    <t>FELIPE LUIZ PEREIRA CHAVES</t>
  </si>
  <si>
    <t>FELIPE MARCUS DE LIMA REIS</t>
  </si>
  <si>
    <t>FERNANDA BRAGA GOMES</t>
  </si>
  <si>
    <t>75389</t>
  </si>
  <si>
    <t>FERNANDA NASCIMENTO MARTELETO MARQUES</t>
  </si>
  <si>
    <t>71167</t>
  </si>
  <si>
    <t>FERNANDA PAULA DE LACERDA REIS</t>
  </si>
  <si>
    <t>FERNANDO ANTONIO ZEFERINO</t>
  </si>
  <si>
    <t>01.01.094.01.3.126.001</t>
  </si>
  <si>
    <t>PGJ/MG PROMOTORIA DE VESPASIANO - MOTORISTAS</t>
  </si>
  <si>
    <t>61158</t>
  </si>
  <si>
    <t>FLAVIA ALVES SOUZA SILVA</t>
  </si>
  <si>
    <t>67948</t>
  </si>
  <si>
    <t>69371</t>
  </si>
  <si>
    <t>FLAVIA CAETANO VINHAL</t>
  </si>
  <si>
    <t>01.01.094.01.1.216.001</t>
  </si>
  <si>
    <t>PGJ - LUZ</t>
  </si>
  <si>
    <t>01.01.094.04.0.202.001</t>
  </si>
  <si>
    <t>PGJ/MG - ARCOS</t>
  </si>
  <si>
    <t>75938</t>
  </si>
  <si>
    <t>FLAVIANA ROGERIA BAETA DOS SANTOS</t>
  </si>
  <si>
    <t>01.01.094.04.0.540.001</t>
  </si>
  <si>
    <t>PGJ/MG - IBIA</t>
  </si>
  <si>
    <t>68189</t>
  </si>
  <si>
    <t>FLAVIO GUIMARAES</t>
  </si>
  <si>
    <t>39488</t>
  </si>
  <si>
    <t>FLAVIO REINALDO DE JESUS</t>
  </si>
  <si>
    <t>FLORACY LIMA SOARES</t>
  </si>
  <si>
    <t>65628</t>
  </si>
  <si>
    <t>54816</t>
  </si>
  <si>
    <t>66240</t>
  </si>
  <si>
    <t>FRANCIELLE CAROLINE PEREIRA DOS SANTOS</t>
  </si>
  <si>
    <t>FRANCIELY CRISTINA COSTA TARQUINIO</t>
  </si>
  <si>
    <t>58291</t>
  </si>
  <si>
    <t>FREDERICO DA LUZ GOMES</t>
  </si>
  <si>
    <t>GABRIEL COSTA MARTINS</t>
  </si>
  <si>
    <t>70030</t>
  </si>
  <si>
    <t>GABRIEL MENDES DE CARVALHO GUALBERTO</t>
  </si>
  <si>
    <t>45300</t>
  </si>
  <si>
    <t>GABRIELA LYTHG VIEGAS DA SILVA</t>
  </si>
  <si>
    <t>GELSON PINTO</t>
  </si>
  <si>
    <t>GENI OLIVEIRA BASTOS</t>
  </si>
  <si>
    <t>57861</t>
  </si>
  <si>
    <t>GENI XAVIER SILVA</t>
  </si>
  <si>
    <t>01.01.094.04.0.708.001</t>
  </si>
  <si>
    <t>PGJ/MG - COROMANDEL</t>
  </si>
  <si>
    <t>GERALDO LUIZ DE ASSUNCAO</t>
  </si>
  <si>
    <t>GERSONITA MARIA NACAMURA</t>
  </si>
  <si>
    <t>GESELINDA DOMINGUES DE CARVALHO</t>
  </si>
  <si>
    <t>69269</t>
  </si>
  <si>
    <t>GETULIO REIS DE SOUZA</t>
  </si>
  <si>
    <t>GILCE CORREIA DOS SANTOS</t>
  </si>
  <si>
    <t>68034</t>
  </si>
  <si>
    <t>GIOVANY FERNANDES PINTO</t>
  </si>
  <si>
    <t>GISELE RAMOS FLOR</t>
  </si>
  <si>
    <t>GISLANE APARECIDA PATRICIO FERREIRA</t>
  </si>
  <si>
    <t>43135</t>
  </si>
  <si>
    <t>GLAUCIA MARA DA COSTA</t>
  </si>
  <si>
    <t>GLAYDSON CANDIDO DOS SANTOS</t>
  </si>
  <si>
    <t>01.01.094.01.3.114.001</t>
  </si>
  <si>
    <t>PGJ/MG PROMOTORIA DE NOVA LIMA - MOTORISTAS</t>
  </si>
  <si>
    <t>GRACIELE DE PAULA BRAZ</t>
  </si>
  <si>
    <t>63626</t>
  </si>
  <si>
    <t>GUILHERME BARBOSA LOPES DE OLIVEIRA</t>
  </si>
  <si>
    <t>GUILHERME BENICIO DE ALMEIDA PRADO BARRETO</t>
  </si>
  <si>
    <t>GUSTAVO HENRIQUE LEVI DOMINGOS COSTA</t>
  </si>
  <si>
    <t>GUSTAVO LEMOS DE LOURDES</t>
  </si>
  <si>
    <t>GUSTAVO VICTOR DE SOUZA</t>
  </si>
  <si>
    <t>HAMAD FARID ALCICI</t>
  </si>
  <si>
    <t>HEBERTON PAULO PEREIRA COSTA</t>
  </si>
  <si>
    <t>HELENA DE FATIMA RIBEIRO</t>
  </si>
  <si>
    <t>HELIO RODRIGUES BARBOSA</t>
  </si>
  <si>
    <t>PINTOR</t>
  </si>
  <si>
    <t>HELVECIO GOMES DAS CHAGAS</t>
  </si>
  <si>
    <t>HENRIQUE BLOM DE OLIVEIRA</t>
  </si>
  <si>
    <t>HENRIQUE MATTHEW RODRIGUES SILVA</t>
  </si>
  <si>
    <t>HERCULES MARQUES GUIMARAES</t>
  </si>
  <si>
    <t>HERNANE LOPES DA SILVA</t>
  </si>
  <si>
    <t>45606</t>
  </si>
  <si>
    <t>73313</t>
  </si>
  <si>
    <t>IOLANDA DE AQUINO TEIXERIA</t>
  </si>
  <si>
    <t>IRACI APARECIDA DOS SANTOS</t>
  </si>
  <si>
    <t>77688</t>
  </si>
  <si>
    <t>IRLAINE ROCHA ALEXANDRINO</t>
  </si>
  <si>
    <t>46638</t>
  </si>
  <si>
    <t>IRLENE DE SOUZA GARCIA</t>
  </si>
  <si>
    <t>ISABEL CRISTINA RODRIGUES LIMA</t>
  </si>
  <si>
    <t>58972</t>
  </si>
  <si>
    <t>ISRAEL CARDOSO LINO ALVES</t>
  </si>
  <si>
    <t>45322</t>
  </si>
  <si>
    <t>IVANIA CRISTINA DE OLIVEIRA</t>
  </si>
  <si>
    <t>01.01.094.04.0.107.001</t>
  </si>
  <si>
    <t>PGJ/MG - ITABIRITO</t>
  </si>
  <si>
    <t>01.01.094.01.3.534.001</t>
  </si>
  <si>
    <t>PGJ/MG PROMOTORIA DE POUSO ALEGRE - MOTORISTAS</t>
  </si>
  <si>
    <t>IVONE GERALDA VITOR RODRIGUES</t>
  </si>
  <si>
    <t>IZABELA LOPES BARBOSA</t>
  </si>
  <si>
    <t>IZOLINA MODESTO DOS SANTOS</t>
  </si>
  <si>
    <t>JACKSON JOSE DA SILVA</t>
  </si>
  <si>
    <t>JADSON PIERRY FERREIRA DE JESUS</t>
  </si>
  <si>
    <t>JAIME MOREIRA</t>
  </si>
  <si>
    <t>01.01.094.04.0.740.001</t>
  </si>
  <si>
    <t>PGJ/MG - AIURUOCA</t>
  </si>
  <si>
    <t>JANAINA LOPES GUIMARAES</t>
  </si>
  <si>
    <t>JANAINA MOREIRA</t>
  </si>
  <si>
    <t>50810</t>
  </si>
  <si>
    <t>JANE DA CONCEICAO RAYMUNDO</t>
  </si>
  <si>
    <t>JANICE DE FATIMA ROSADO DE OLIVEIRA</t>
  </si>
  <si>
    <t>52306</t>
  </si>
  <si>
    <t>JEAN MAX COSTA DE OLIVEIRA</t>
  </si>
  <si>
    <t>JEANE KEILA DE SALES</t>
  </si>
  <si>
    <t>JEFFERSON DENISIO NUNES</t>
  </si>
  <si>
    <t>57858</t>
  </si>
  <si>
    <t>JEFFERSON MARCIO CARDOSO</t>
  </si>
  <si>
    <t>1</t>
  </si>
  <si>
    <t>JESSICA CARDOSO OLIVEIRA</t>
  </si>
  <si>
    <t>01.01.094.04.0.221.001</t>
  </si>
  <si>
    <t>JESSICA JAQUELINE DO SACRAMENTO</t>
  </si>
  <si>
    <t>69444</t>
  </si>
  <si>
    <t>JESSICA PAULA VINHAL</t>
  </si>
  <si>
    <t>JESUS GERMANO DA SILVA JUNIOR</t>
  </si>
  <si>
    <t>JOANA D ARC DE ANDRADE CORREA</t>
  </si>
  <si>
    <t>JOAO ANTONIO LUIZ DO NASCIMENTO</t>
  </si>
  <si>
    <t>JOAO BATISTA DA SILVA</t>
  </si>
  <si>
    <t>JOAO BATISTA MOREIRA DA SILVA</t>
  </si>
  <si>
    <t>JOAO EDSON DA SILVA</t>
  </si>
  <si>
    <t>71731</t>
  </si>
  <si>
    <t>JOAO GILBERTO DE SOUZA</t>
  </si>
  <si>
    <t>JOAO PEREIRA GONCALVES</t>
  </si>
  <si>
    <t>JOICE FARIAS DE MELLO</t>
  </si>
  <si>
    <t>JOMAR SIMEAO DE FARIA</t>
  </si>
  <si>
    <t>JONAS PEREIRA MOREIRA</t>
  </si>
  <si>
    <t>JONATHAN ALBERT FERREIRA PASSOS</t>
  </si>
  <si>
    <t>JONATHAN ISRAEL NASCIMENTO DE JESUS</t>
  </si>
  <si>
    <t>JORDANIA FRANCISCA REIS SILVA</t>
  </si>
  <si>
    <t>46330</t>
  </si>
  <si>
    <t>JORDANIA ROBERTA ARAUJO</t>
  </si>
  <si>
    <t>JOSE ALTAIR SILVA</t>
  </si>
  <si>
    <t>77345</t>
  </si>
  <si>
    <t>JOSE ANTONIO FERREIRA LIMA</t>
  </si>
  <si>
    <t>JOSE ANTONIO MOREIRA</t>
  </si>
  <si>
    <t>JOSE AUGUSTO MONTEIRO</t>
  </si>
  <si>
    <t>58017</t>
  </si>
  <si>
    <t>JOSE CLEBER FERREIRA</t>
  </si>
  <si>
    <t>01.01.094.01.3.628.001</t>
  </si>
  <si>
    <t>PGJ/MG COMARCA DE SAO JOAO DEL REY - MOTORISTAS</t>
  </si>
  <si>
    <t>JOSE MAMEDE CARNEIRO</t>
  </si>
  <si>
    <t>JOSE MARCOLINO DA SILVA</t>
  </si>
  <si>
    <t>JOSE RENATO DE MOURA</t>
  </si>
  <si>
    <t>JOSE ROBERTO BENEDITO</t>
  </si>
  <si>
    <t>JOSE RODRIGUES FERNANDES</t>
  </si>
  <si>
    <t>JOSIANE APARECIDA DANAMARCO</t>
  </si>
  <si>
    <t>44470</t>
  </si>
  <si>
    <t>JOSIE ALVES INACIO</t>
  </si>
  <si>
    <t>JOSIMARA DE OLIVEIRA</t>
  </si>
  <si>
    <t>JOYCE LUCENA LOPES</t>
  </si>
  <si>
    <t>44565</t>
  </si>
  <si>
    <t>71525</t>
  </si>
  <si>
    <t>JOYCE NOGUEIRA FERREIRA</t>
  </si>
  <si>
    <t>JOZIVAN FERNANDO DOS SANTOS</t>
  </si>
  <si>
    <t>JUAN JULIO MACIEL RODRIGUES</t>
  </si>
  <si>
    <t>JUCELIR ESTEVES NASCIMENTO SILVA</t>
  </si>
  <si>
    <t>57692</t>
  </si>
  <si>
    <t>JULIANA REIS PINHEIRO VILELA</t>
  </si>
  <si>
    <t>01.01.094.01.1.504.001</t>
  </si>
  <si>
    <t>PGJ/MG - BOA ESPERANCA</t>
  </si>
  <si>
    <t>71920</t>
  </si>
  <si>
    <t>JULIETE DE SOUSA RIBEIRO</t>
  </si>
  <si>
    <t>JULIO CESAR BRAGA</t>
  </si>
  <si>
    <t>60021</t>
  </si>
  <si>
    <t>JULIO SERGIO PEREIRA DA SILVA</t>
  </si>
  <si>
    <t>JUSSARA PAIXAO BATISTA</t>
  </si>
  <si>
    <t>01.01.094.04.0.227.001</t>
  </si>
  <si>
    <t>PGJ/MG - SAO SEBASTIAO DO PARAISO</t>
  </si>
  <si>
    <t>72667</t>
  </si>
  <si>
    <t>68659</t>
  </si>
  <si>
    <t>KASSIA CUSTODIO DOS SANTOS</t>
  </si>
  <si>
    <t>01.01.094.04.0.527.001</t>
  </si>
  <si>
    <t>PGJ/MG - MONTE AZUL</t>
  </si>
  <si>
    <t>KATIA ALVES CORDEIRO</t>
  </si>
  <si>
    <t>01.01.094.04.0.001.016</t>
  </si>
  <si>
    <t>PGJ/MG - CAO CRIMO</t>
  </si>
  <si>
    <t>69449</t>
  </si>
  <si>
    <t>KATIA CRISTINA DE CARVALHO AQUINO</t>
  </si>
  <si>
    <t>KATIELLE TAIARA BATISTA FERREIRA</t>
  </si>
  <si>
    <t>KELLEN CRISTINA SIMOES CARNEIRO</t>
  </si>
  <si>
    <t>76885</t>
  </si>
  <si>
    <t>KENIA CAROLINA DE OLIVEIRA</t>
  </si>
  <si>
    <t>KENIA GOMES DE CARVALHO</t>
  </si>
  <si>
    <t>LAERCIO FRANCISCO SANTOS</t>
  </si>
  <si>
    <t>LAIS MURIEL GANDRA GOMES</t>
  </si>
  <si>
    <t>49624</t>
  </si>
  <si>
    <t>01.01.094.04.0.432.001</t>
  </si>
  <si>
    <t>PGJ/MG - SAO FRANCISCO</t>
  </si>
  <si>
    <t>LARYSSA KESIA MARTINS DOS SANTOS</t>
  </si>
  <si>
    <t>61566</t>
  </si>
  <si>
    <t>LEANDRA ALVES NORONHA</t>
  </si>
  <si>
    <t>01.01.094.04.0.706.001</t>
  </si>
  <si>
    <t>PGJ/MG - CARMO DO PARANAIBA</t>
  </si>
  <si>
    <t>LEANDRA NIZIA AMELIA DOS SANTOS</t>
  </si>
  <si>
    <t>LEANDRO MARCELINO SILVESTRE</t>
  </si>
  <si>
    <t>01.01.094.01.3.221.001</t>
  </si>
  <si>
    <t>PGJ/MG PROMOTORIA DE PASSOS - MOTORISTAS</t>
  </si>
  <si>
    <t>01.01.094.01.3.002.001</t>
  </si>
  <si>
    <t>PGJ/MG COMARCA DE CONTAGEM/SEDE - MOTORISTAS</t>
  </si>
  <si>
    <t>72575</t>
  </si>
  <si>
    <t>LEONARDO GUIMARAES GOMES</t>
  </si>
  <si>
    <t>LEONARDO MAGNO ROSA</t>
  </si>
  <si>
    <t>LETICIA CASTRO SILVA</t>
  </si>
  <si>
    <t>LETICIA MARIA DALARIVA SILVA</t>
  </si>
  <si>
    <t>72612</t>
  </si>
  <si>
    <t>LEVINDO CORREA DE FARIA</t>
  </si>
  <si>
    <t>38539</t>
  </si>
  <si>
    <t>LIGIA PAULA REIS</t>
  </si>
  <si>
    <t>LILIANE MARIA MARINS</t>
  </si>
  <si>
    <t>01.01.094.04.0.001.023</t>
  </si>
  <si>
    <t>PGJ/MG - RUA PARACATU</t>
  </si>
  <si>
    <t>LINDAURA DE FATIMA MAIA DOS SANTOS</t>
  </si>
  <si>
    <t>LISIA OLIVEIRA FRANCA</t>
  </si>
  <si>
    <t>LIVIA ESTEVES PIMENTA</t>
  </si>
  <si>
    <t>01.01.094.04.0.312.001</t>
  </si>
  <si>
    <t>PGJ/MG - ITAMBACURI</t>
  </si>
  <si>
    <t>LORENA SILVA MENDES</t>
  </si>
  <si>
    <t>LOURDES DE SOUZA ANDRADE</t>
  </si>
  <si>
    <t>LOURIVAL GIL DE SOUZA</t>
  </si>
  <si>
    <t>01.01.094.04.0.533.001</t>
  </si>
  <si>
    <t>PGJ/MG - POCO FUNDO</t>
  </si>
  <si>
    <t>LUANA FERREIRA LIMA</t>
  </si>
  <si>
    <t>LUCAS ALVES GARCIA</t>
  </si>
  <si>
    <t>69788</t>
  </si>
  <si>
    <t>LUCAS MARTINS FELIPE</t>
  </si>
  <si>
    <t>LUCAS TOMAZ DE AGUIAR</t>
  </si>
  <si>
    <t>LUCIA HELENA DOS SANTOS LIMA</t>
  </si>
  <si>
    <t>71187</t>
  </si>
  <si>
    <t>LUCIANA FREITAS SOUZA</t>
  </si>
  <si>
    <t>LUCIANA VIEIRA MARTINS</t>
  </si>
  <si>
    <t>LUCIANA ZACARIAS LIMA</t>
  </si>
  <si>
    <t>LUCIENE APARECIDA DA SILVA ASSUNCAO</t>
  </si>
  <si>
    <t>29422</t>
  </si>
  <si>
    <t>LUCIENE BATISTA MARINHO</t>
  </si>
  <si>
    <t>01.01.094.04.0.409.001</t>
  </si>
  <si>
    <t>PGJ/MG - CORINTO</t>
  </si>
  <si>
    <t>63427</t>
  </si>
  <si>
    <t>LUCILENE MONTEIRO</t>
  </si>
  <si>
    <t>LUCIMARA DE CASSIA GIFFONI SILVA</t>
  </si>
  <si>
    <t>LUCINEI DE JESUS ALMEIDA</t>
  </si>
  <si>
    <t>LUCINEIA APARECIDA FRAGA FERREIRA</t>
  </si>
  <si>
    <t>LUCIO SERGIO DO CARMO COELHO PIRES</t>
  </si>
  <si>
    <t>LUDIANE CRISTINA DA PAIXAO OLIVEIRA</t>
  </si>
  <si>
    <t>LUDWIG VAN BEETHOVEN SILVA</t>
  </si>
  <si>
    <t>LUIDE ANTONIO NERI OLIVEIRA</t>
  </si>
  <si>
    <t>LUIS HENRIQUES MARQUES RUFINO</t>
  </si>
  <si>
    <t>LUIZ CARLOS ALMEIDA REIS</t>
  </si>
  <si>
    <t>LUIZ CARLOS DA SILVA</t>
  </si>
  <si>
    <t>01.01.094.01.3.119.001</t>
  </si>
  <si>
    <t>PGJ/MG COMARCA DE RIBEIRAO DAS NEVES - MOTORISTAS</t>
  </si>
  <si>
    <t>LUIZA GERALDA DOS SANTOS</t>
  </si>
  <si>
    <t>LUIZA HELENA CORDEIRO DOS SANTOS</t>
  </si>
  <si>
    <t>LUSINETE FERREIRA LIMA</t>
  </si>
  <si>
    <t>LUZIA CALDEIRA</t>
  </si>
  <si>
    <t>72162</t>
  </si>
  <si>
    <t>LUZIANE GREGORIO DA SILVA</t>
  </si>
  <si>
    <t>MADALENA CLEUZA PEREIRA RIBEIRO</t>
  </si>
  <si>
    <t>MAGDA DE FATIMA RIBEIRO DOS SANTOS SOARES</t>
  </si>
  <si>
    <t>01.01.094.04.0.220.001</t>
  </si>
  <si>
    <t>PGJ/MG - PARA DE MINAS</t>
  </si>
  <si>
    <t>MAGNA DO ROSARIO TEIXEIRA AGUIAR</t>
  </si>
  <si>
    <t>MARCA HELENA DE SOUZA</t>
  </si>
  <si>
    <t>ENCARREGADO</t>
  </si>
  <si>
    <t>MARCELO ALVES TEIXEIRA</t>
  </si>
  <si>
    <t>MARCELO ANTONIO LANDIM</t>
  </si>
  <si>
    <t>MARCIA KARINE GOMES</t>
  </si>
  <si>
    <t>01.01.094.04.0.424.001</t>
  </si>
  <si>
    <t>PGJ/MG - OURO FINO</t>
  </si>
  <si>
    <t>47053</t>
  </si>
  <si>
    <t>MARCIA MARIA DE JESUS</t>
  </si>
  <si>
    <t>01.01.094.04.0.602.001</t>
  </si>
  <si>
    <t>MARCO ANTONIO DE OLIVEIRA SOARES</t>
  </si>
  <si>
    <t>MARCO ANTONIO RAMOS DA SILVA</t>
  </si>
  <si>
    <t>MARCOS FERREIRA MACHADO</t>
  </si>
  <si>
    <t>69380</t>
  </si>
  <si>
    <t>MARCOS FERREIRA PORTELA</t>
  </si>
  <si>
    <t>MARCOS JEFFERSON ALVES</t>
  </si>
  <si>
    <t>MARCOS NONATO DE MOURA</t>
  </si>
  <si>
    <t>MARCOS PEREIRA</t>
  </si>
  <si>
    <t>55101</t>
  </si>
  <si>
    <t>73983</t>
  </si>
  <si>
    <t>MARCUS VINICIUS FERREIRA LEITE</t>
  </si>
  <si>
    <t>MARGARETH NUNES DE ARAUJO</t>
  </si>
  <si>
    <t>MARIA ANTONIA DA SILVA ALVES</t>
  </si>
  <si>
    <t>69425</t>
  </si>
  <si>
    <t>69896</t>
  </si>
  <si>
    <t>MARIA ANTONIA VIANA</t>
  </si>
  <si>
    <t>01.01.094.04.0.309.001</t>
  </si>
  <si>
    <t>PGJ/MG - GUANHAES</t>
  </si>
  <si>
    <t>MARIA APARECIDA DA SILVA</t>
  </si>
  <si>
    <t>MARIA APARECIDA DE ASSIS MESQUITA CORREIA</t>
  </si>
  <si>
    <t>70465</t>
  </si>
  <si>
    <t>67734</t>
  </si>
  <si>
    <t>MARIA APARECIDA DE OLIVEIRA</t>
  </si>
  <si>
    <t>56339</t>
  </si>
  <si>
    <t>MARIA APARECIDA DOS SANTOS</t>
  </si>
  <si>
    <t>MARIA APARECIDA EMERENCIANA</t>
  </si>
  <si>
    <t>MARIA APARECIDA PEREIRA</t>
  </si>
  <si>
    <t>MARIA APARECIDA PEREIRA DA SILVA</t>
  </si>
  <si>
    <t>66152</t>
  </si>
  <si>
    <t>MARIA APARECIDA SILVA</t>
  </si>
  <si>
    <t>MARIA AUGUSTA TOMAZ DE SOUZA</t>
  </si>
  <si>
    <t>MARIA CONCEICAO DE JESUS SILVA</t>
  </si>
  <si>
    <t>01.01.094.04.0.630.001</t>
  </si>
  <si>
    <t>70220</t>
  </si>
  <si>
    <t>MARIA CRISTINA ROCHA</t>
  </si>
  <si>
    <t>MARIA DA GLORIA FERREIRA ADRIANO</t>
  </si>
  <si>
    <t>MARIA DA LUZ LOIOLA</t>
  </si>
  <si>
    <t>74419</t>
  </si>
  <si>
    <t>MARIA DA PENHA DUARTE SOUSA</t>
  </si>
  <si>
    <t>MARIA DAS DORES GUERRA SILVA</t>
  </si>
  <si>
    <t>MARIA DAS DORES SANTOS DE JESUS</t>
  </si>
  <si>
    <t>50002</t>
  </si>
  <si>
    <t>MARIA DAS GRACAS DE OLIVEIRA</t>
  </si>
  <si>
    <t>MARIA DAS GRACAS MUNIZ MACHADO</t>
  </si>
  <si>
    <t>MARIA DE FATIMA BATISTA DE JESUS</t>
  </si>
  <si>
    <t>MARIA DE FATIMA DA SILVA RAMOS</t>
  </si>
  <si>
    <t>MARIA DE FATIMA FONSECA</t>
  </si>
  <si>
    <t>MARIA DE FATIMA GOMES SANTANA</t>
  </si>
  <si>
    <t>01.01.094.04.0.406.001</t>
  </si>
  <si>
    <t>PGJ/MG - CAPELINHA</t>
  </si>
  <si>
    <t>MARIA DE FATIMA SANTOS ROCHA</t>
  </si>
  <si>
    <t>MARIA DE JESUS MENDES DA SILVA</t>
  </si>
  <si>
    <t>MARIA DE LOURDES</t>
  </si>
  <si>
    <t>MARIA DE LOURDES ARAUJO</t>
  </si>
  <si>
    <t>MARIA DE LOURDES RODRIGUES</t>
  </si>
  <si>
    <t>60460</t>
  </si>
  <si>
    <t>MARIA DO CARMO SANTIGO MIRANDA</t>
  </si>
  <si>
    <t>60856</t>
  </si>
  <si>
    <t>MARIA ELIZABETH DE AZEVEDO</t>
  </si>
  <si>
    <t>01.01.094.04.0.924.001</t>
  </si>
  <si>
    <t>PGJ/MG - ITAMONTE</t>
  </si>
  <si>
    <t>MARIA ELIZABETH DUTRA UEBE</t>
  </si>
  <si>
    <t>53116</t>
  </si>
  <si>
    <t>MARIA ESPEDITA PEREIRA DE CARVALHO</t>
  </si>
  <si>
    <t>MARIA IMACULADA DE ALMEIDA DIAS</t>
  </si>
  <si>
    <t>MARIA INEZ DE ABREU GOMES</t>
  </si>
  <si>
    <t>MARIA IZABEL RODRIGUES</t>
  </si>
  <si>
    <t>MARIA JULIA ROCHA LIMA</t>
  </si>
  <si>
    <t>MARIA LUCIA LEITE</t>
  </si>
  <si>
    <t>MARIA LUCIA MOREIRA ROSA</t>
  </si>
  <si>
    <t>46099</t>
  </si>
  <si>
    <t>MARIA LUIZA LEANDRO DOS REIS</t>
  </si>
  <si>
    <t>MARIA LUIZA MARQUES DOS SANTOS LOURENCO</t>
  </si>
  <si>
    <t>MARIA NICOLAU DA SILVA ROCHA</t>
  </si>
  <si>
    <t>MARIA NILZA PINTO DA SILVA</t>
  </si>
  <si>
    <t>MARIA QUENTINA DOS SANTOS</t>
  </si>
  <si>
    <t>71224</t>
  </si>
  <si>
    <t>MARIA REGINA VENCESLAU PEREIRA</t>
  </si>
  <si>
    <t>MARIA TERESINHA DE JESUS ANDRADE</t>
  </si>
  <si>
    <t>MARIO INACIO MARTINS SILVA</t>
  </si>
  <si>
    <t>MARISA FARIA BIZINOTO</t>
  </si>
  <si>
    <t>01.01.094.04.0.916.001</t>
  </si>
  <si>
    <t>PGJ/MG - CONQUISTA</t>
  </si>
  <si>
    <t>MARISA PEREIRA DO NASCIMENTO</t>
  </si>
  <si>
    <t>01.01.094.04.0.523.001</t>
  </si>
  <si>
    <t>MARISTELA IRAI PEREIRA SCHWEDLER</t>
  </si>
  <si>
    <t>MARIZA APARECIDA SENA GUEDES</t>
  </si>
  <si>
    <t>MARLENE PEREIRA BORSATO</t>
  </si>
  <si>
    <t>01.01.094.04.0.535.001</t>
  </si>
  <si>
    <t>PGJ/MG - SANTA RITA DO SAPUCAI</t>
  </si>
  <si>
    <t>67050</t>
  </si>
  <si>
    <t>70119</t>
  </si>
  <si>
    <t>MARLI DE CASSIA SILVA REIS</t>
  </si>
  <si>
    <t>01.01.094.04.0.532.001</t>
  </si>
  <si>
    <t>MARLI DE SENA CRUZ</t>
  </si>
  <si>
    <t>MARLIZA BATISTA CABRAL RIBEIRO</t>
  </si>
  <si>
    <t>01.01.094.04.0.212.001</t>
  </si>
  <si>
    <t>PGJ/MG - FORMIGA</t>
  </si>
  <si>
    <t>60994</t>
  </si>
  <si>
    <t>MARLUZ BATISTA CABRAL</t>
  </si>
  <si>
    <t>MARLY MACHADO SIMAO AQUINO</t>
  </si>
  <si>
    <t>01.01.094.04.0.618.001</t>
  </si>
  <si>
    <t>PGJ/MG - MURIAE</t>
  </si>
  <si>
    <t>MATHEUS PEREIRA ALVES</t>
  </si>
  <si>
    <t>MAURA DE SOUZA CALDEIRA NETA</t>
  </si>
  <si>
    <t>MAXIMO JUNIOR SILVA VIEIRA</t>
  </si>
  <si>
    <t>MAYZA ALVES MANCO</t>
  </si>
  <si>
    <t>MICHAEL DOUGLAS DE MORAIS</t>
  </si>
  <si>
    <t>MICHAEL RODRIGO DA SILVA</t>
  </si>
  <si>
    <t>MICHELE SILVA SOARES</t>
  </si>
  <si>
    <t>MICHELINE IMACULADA DE CASTRO</t>
  </si>
  <si>
    <t>MICHELLE FERNANDES DOS SANTOS LOUREDO</t>
  </si>
  <si>
    <t>MIKE BATISTA CARDOSO JARDIM</t>
  </si>
  <si>
    <t>MIRACI SOARES DE OLIVEIRA</t>
  </si>
  <si>
    <t>69479</t>
  </si>
  <si>
    <t>MIRNA TATIANA FELIX MAURICIO</t>
  </si>
  <si>
    <t>MOACIR ROBERTO BRAZ DE SOUZA</t>
  </si>
  <si>
    <t>MOISES AMARO TELESFARO</t>
  </si>
  <si>
    <t>MURILO LUIZ DE FRANCA</t>
  </si>
  <si>
    <t>72469</t>
  </si>
  <si>
    <t>NAIR MIGUEL DA ROCHA</t>
  </si>
  <si>
    <t>NARA NUBIA VIEIRA DA SILVA</t>
  </si>
  <si>
    <t>NATALIA RESENDE ROSA</t>
  </si>
  <si>
    <t>NATHALIA SILVESTRE ROSA</t>
  </si>
  <si>
    <t>NAYARA CRISTINA LIMA BARBOSA</t>
  </si>
  <si>
    <t>NEDES FERNANDES DA SILVA</t>
  </si>
  <si>
    <t>NEIDE CRISTINA GONCALVES</t>
  </si>
  <si>
    <t>NEUSA MARIA SANTOS</t>
  </si>
  <si>
    <t>NEUSA RAQUEL ROSA</t>
  </si>
  <si>
    <t>68190</t>
  </si>
  <si>
    <t>NILTON DIMAS DA SILVA</t>
  </si>
  <si>
    <t>NILZA MARIA FIGUEIREDO SANTOS</t>
  </si>
  <si>
    <t>NIVA MARQUES COSTA</t>
  </si>
  <si>
    <t>NIVALDO ALVES</t>
  </si>
  <si>
    <t>ONILIA APARECIDA ESTANISLAU</t>
  </si>
  <si>
    <t>ORLANDO LEANDRO VIEIRA</t>
  </si>
  <si>
    <t>OSEIAS AMORIM DA SILVA</t>
  </si>
  <si>
    <t>OSVALDO MARTINS</t>
  </si>
  <si>
    <t>72298</t>
  </si>
  <si>
    <t>PABLO PAULO DA SILVA</t>
  </si>
  <si>
    <t>46193</t>
  </si>
  <si>
    <t>PATRICIA EUSEBIA CERASO</t>
  </si>
  <si>
    <t>PATRICIA PEREIRA DA SILVA</t>
  </si>
  <si>
    <t>PAULA MARIA DOS SANTOS RIBEIRO</t>
  </si>
  <si>
    <t>PAULO HENRIQUE SOARES DA COSTA</t>
  </si>
  <si>
    <t>28123</t>
  </si>
  <si>
    <t>PAULO LUCIO RODRIGUES</t>
  </si>
  <si>
    <t>PEDRO HENRIQUE DE SOUZA COSTA</t>
  </si>
  <si>
    <t>POLIANA DE ALMEIDA DA SILVA</t>
  </si>
  <si>
    <t>PRISCILA SILVA MENDONCA</t>
  </si>
  <si>
    <t>PRISCILLA PAULA FERNANDES POUBEL</t>
  </si>
  <si>
    <t>RAFAEL FELIPE SANTOS VITOR</t>
  </si>
  <si>
    <t>RAFAEL RAMALHO DE OLIVEIRA</t>
  </si>
  <si>
    <t>RAFAELA DE CASTRO AZEVEDO</t>
  </si>
  <si>
    <t>RAIMUNDA EDNA CABRAL DE ALMEIDA</t>
  </si>
  <si>
    <t>RAIMUNDO TEIXEIRA RIBEIRO</t>
  </si>
  <si>
    <t>RAMONN PITAGORAS MOURA AZEVEDO</t>
  </si>
  <si>
    <t>RAPHAEL KLEBER PAIXAO MOURA</t>
  </si>
  <si>
    <t>58396</t>
  </si>
  <si>
    <t>REGINA ANANIAS DE MELO</t>
  </si>
  <si>
    <t>REGINALDO BELARMINIO</t>
  </si>
  <si>
    <t>REJANE BENIGNA DA SILVA SANTOS</t>
  </si>
  <si>
    <t>RENATA QUEIROZ DA COSTA BATISTA</t>
  </si>
  <si>
    <t>RENATO MIRANDA DE SOUZA</t>
  </si>
  <si>
    <t>RENATO PEREIRA OTONI</t>
  </si>
  <si>
    <t>RENATO RIBEIRO LEMOS TEIXEIRA</t>
  </si>
  <si>
    <t>RENILSON PEREIRA DO AMARAL</t>
  </si>
  <si>
    <t>RICARDO CERQUEIRA DE OLIVEIRA</t>
  </si>
  <si>
    <t>RICARDO DE SOUZA GOMES</t>
  </si>
  <si>
    <t>RITA DE CASSIA MARQUES PAULA</t>
  </si>
  <si>
    <t>65945</t>
  </si>
  <si>
    <t>ROBERTO BANIO GONCALVES</t>
  </si>
  <si>
    <t>71257</t>
  </si>
  <si>
    <t>ROBERTO FERNANDES ELOI</t>
  </si>
  <si>
    <t>ROBSON NEVES DA SILVA</t>
  </si>
  <si>
    <t>45227</t>
  </si>
  <si>
    <t>RODOLFO DE OLIVEIRA MOREIRA</t>
  </si>
  <si>
    <t>RODRIGO SANTOS DE SOUZA</t>
  </si>
  <si>
    <t>ROGERIO LUIZ COSTA</t>
  </si>
  <si>
    <t>ROGERIO MOTTA</t>
  </si>
  <si>
    <t>RONALDO ALMEIDA FERNANDES</t>
  </si>
  <si>
    <t>RONALDO PENNA MARRARA</t>
  </si>
  <si>
    <t>RONEI ALVES DA SILVA</t>
  </si>
  <si>
    <t>RONILSON JANUARIO DOS SANTOS</t>
  </si>
  <si>
    <t>ROSALHA FERNANDA ROSA REQUEIJO</t>
  </si>
  <si>
    <t>ROSANGELA FERNANDES DE OLIVEIRA DA SILVA</t>
  </si>
  <si>
    <t>ROSANGELA LOPES DE OLIVEIRA</t>
  </si>
  <si>
    <t>ROSANGELA RODRIGUES VELHO</t>
  </si>
  <si>
    <t>ROSELY FERREIRA DE LIMA</t>
  </si>
  <si>
    <t>01.01.094.01.3.532.001</t>
  </si>
  <si>
    <t>PGJ/MG PROMOTORIA DE POCOS DE CALDAS - MOTORISTA</t>
  </si>
  <si>
    <t>ROSEMARY RAQUEL DE JESUS</t>
  </si>
  <si>
    <t>ROSEMEIRE NUNES DOS SANTOS</t>
  </si>
  <si>
    <t>ROSEMEIRE VIANA DE SOUZA</t>
  </si>
  <si>
    <t>ROSEMIR NELIE DA SILVA</t>
  </si>
  <si>
    <t>ROSENEY TEREZINHA DA SILVA</t>
  </si>
  <si>
    <t>70261</t>
  </si>
  <si>
    <t>45066</t>
  </si>
  <si>
    <t>ROSILENE APARECIDA RODRIGUES</t>
  </si>
  <si>
    <t>ROSILENE APARECIDA VIANA SOARES</t>
  </si>
  <si>
    <t>ROSILENE DA SILVA ROSA</t>
  </si>
  <si>
    <t>01.01.094.04.0.538.001</t>
  </si>
  <si>
    <t>PGJ/MG - SAO LOURENCO</t>
  </si>
  <si>
    <t>ROSILENE IMACULADA VIANA</t>
  </si>
  <si>
    <t>ROSILENE MENDONCA DA SILVA</t>
  </si>
  <si>
    <t>RUI XAVIER DE MATOS</t>
  </si>
  <si>
    <t>SABRINA LIMA DE OLIVEIRA</t>
  </si>
  <si>
    <t>73358</t>
  </si>
  <si>
    <t>SAMUEL SANTOS DA SILVA</t>
  </si>
  <si>
    <t>SANDRA REGINA DE OLIVEIRA</t>
  </si>
  <si>
    <t>SARA ANDRADE LOPES DE FREITAS</t>
  </si>
  <si>
    <t>SEBASTIAO BRAS DA SILVA</t>
  </si>
  <si>
    <t>SEBASTIAO DE SOUZA</t>
  </si>
  <si>
    <t>SELMA MARIA DE MOURA</t>
  </si>
  <si>
    <t>SERGIO DE JESUS LOPES</t>
  </si>
  <si>
    <t>SHEILA DOS SANTOS CAIAPO</t>
  </si>
  <si>
    <t>40287</t>
  </si>
  <si>
    <t>SHIRLEY DA SILVA SANTOS COSTA</t>
  </si>
  <si>
    <t>SILESIA BATISTA MARINHO</t>
  </si>
  <si>
    <t>SILVANA MARIA DA SILVA SANTOS</t>
  </si>
  <si>
    <t>SILVANA NEVES SILVA OLIVEIRA</t>
  </si>
  <si>
    <t>SILVANA SILVA FERREIRA</t>
  </si>
  <si>
    <t>SILVIA BARBOSA DE MATOS</t>
  </si>
  <si>
    <t>SILVIO SOUZA FONSECA</t>
  </si>
  <si>
    <t>SIMONE APARECIDA FRANCA</t>
  </si>
  <si>
    <t>SOLANGE CRISTINA DE PAULA</t>
  </si>
  <si>
    <t>SONIA BIANO DE SOUZA DA SILVA</t>
  </si>
  <si>
    <t>SONIA DA SILVA RAMOS</t>
  </si>
  <si>
    <t>SUANE PABLINE PERES DOS SANTOS</t>
  </si>
  <si>
    <t>TAIANA PAULA GONCALVES</t>
  </si>
  <si>
    <t>01.01.094.04.0.626.001</t>
  </si>
  <si>
    <t>PGJ/MG - SANTOS DUMONT</t>
  </si>
  <si>
    <t>TARCISIO SIMOES SA</t>
  </si>
  <si>
    <t>TARCISO LOURENCO DOS SANTOS</t>
  </si>
  <si>
    <t>TATIANA ALVES DE ARAUJO</t>
  </si>
  <si>
    <t>TATIANA FIDELIS DE CARVALHO</t>
  </si>
  <si>
    <t>TATIANE INACIA DE CAMPOS</t>
  </si>
  <si>
    <t>TAYNA CAMPOS FALCONI</t>
  </si>
  <si>
    <t>TEREZINHA BATISTA TEIXEIRA</t>
  </si>
  <si>
    <t>TEREZINHA JESUS DOS SANTOS</t>
  </si>
  <si>
    <t>THAIS FATIMA DE OLIVEIRA</t>
  </si>
  <si>
    <t>THIAGO MATHEUS BATISTA DA SILVA FERREIRA</t>
  </si>
  <si>
    <t>TIAGO JUNIO DE JESUS</t>
  </si>
  <si>
    <t>TIAGO SANTOS DA GRAMA</t>
  </si>
  <si>
    <t>01.01.094.04.0.218.001</t>
  </si>
  <si>
    <t>PGJ/MG - NOVA SERRANA</t>
  </si>
  <si>
    <t>UVASTRUIL PEREIRA DE ABREU</t>
  </si>
  <si>
    <t>VAGNER ADRIANO DA SILVA</t>
  </si>
  <si>
    <t>VALDENY JOSE DE OLIVEIRA</t>
  </si>
  <si>
    <t>VALDINEIA SOARES ROCHA</t>
  </si>
  <si>
    <t>01.01.094.04.0.430.001</t>
  </si>
  <si>
    <t>PGJ/MG - PORTEIRINHA</t>
  </si>
  <si>
    <t>VALDINES DE ARAUJO LIMA</t>
  </si>
  <si>
    <t>VALDIR AFONSO DA SILVA JUNIOR</t>
  </si>
  <si>
    <t>VALERIA DOS SANTOS CABRAL</t>
  </si>
  <si>
    <t>VALKISERGIO COSTA E SILVA</t>
  </si>
  <si>
    <t>VALTER ONOFRE GONCALVES</t>
  </si>
  <si>
    <t>VANDA MARIA DE SOUZA</t>
  </si>
  <si>
    <t>VANDERLEY CARLOS DE SOUSA</t>
  </si>
  <si>
    <t>VANDERLEY LUIZ BRAGA</t>
  </si>
  <si>
    <t>VANDERLI CAETANO BESSA</t>
  </si>
  <si>
    <t>VANESSA ADRIANE COSTA LEMOS</t>
  </si>
  <si>
    <t>VANESSA CRISTINA DA SILVA PIRES</t>
  </si>
  <si>
    <t>VANESSA MATEUS</t>
  </si>
  <si>
    <t>VANESSA PINTO CUNHA DE SOUZA NETO</t>
  </si>
  <si>
    <t>VANIA MARIA MOREIRA</t>
  </si>
  <si>
    <t>VANILDA SOARES DAMASCENO</t>
  </si>
  <si>
    <t>01.01.094.04.0.501.001</t>
  </si>
  <si>
    <t>PGJ/MG - ANDRADAS</t>
  </si>
  <si>
    <t>VERA LUCIA TAVARES SILVA</t>
  </si>
  <si>
    <t>VERIDIANA DOS ANJOS DAMIAO</t>
  </si>
  <si>
    <t>VERONICE MARTINS VIDEIRA DE LANA</t>
  </si>
  <si>
    <t>VICTOR SAMUEL DOS SANTOS</t>
  </si>
  <si>
    <t>VIVIANE ALVES DA SILVA</t>
  </si>
  <si>
    <t>VIVIANE APARECIDA OLIVEIRA</t>
  </si>
  <si>
    <t>WALDIRENE ELOINA DE CASTRO</t>
  </si>
  <si>
    <t>WALDIRENY WON DOLLINGER</t>
  </si>
  <si>
    <t>WALNER NOGUEIRA DA SILVA</t>
  </si>
  <si>
    <t>WALYSSON FERREIRA CAMPOS</t>
  </si>
  <si>
    <t>WANDEIR ELIAS DA SILVA</t>
  </si>
  <si>
    <t>WANDERLEI FELIPE DE MIRANDA</t>
  </si>
  <si>
    <t>WARLEY OLIVEIRA DE JESUS</t>
  </si>
  <si>
    <t>WARLLEN GONCALVES DA CRUZ</t>
  </si>
  <si>
    <t>WASHINGTON DOS SANTOS FERREIRA</t>
  </si>
  <si>
    <t>WASHINGTON LUCIO ROCHA CARDOSO</t>
  </si>
  <si>
    <t>WEBERSON SILVA FARIAS</t>
  </si>
  <si>
    <t>WENDER ROCHA DE OLIVEIRA</t>
  </si>
  <si>
    <t>WERICSON DOS SANTOS SILVA</t>
  </si>
  <si>
    <t>WHAGTON JUNIO SOUZA SANTOS</t>
  </si>
  <si>
    <t>WILIAN MATEUS DA SILVA ROSA</t>
  </si>
  <si>
    <t>WILMA ROSA DE LIMA</t>
  </si>
  <si>
    <t>WILSON ANTONIO VICENTE</t>
  </si>
  <si>
    <t>WILSON IANSEN</t>
  </si>
  <si>
    <t>WILSON JOSE DE PAULA</t>
  </si>
  <si>
    <t>74417</t>
  </si>
  <si>
    <t>WLADIMIR DE SOUSA BARBOSA</t>
  </si>
  <si>
    <t>WOLNEY LUCIO DOS SANTOS</t>
  </si>
  <si>
    <t>YEDA LOPES COSTA</t>
  </si>
  <si>
    <t>ZELINA CLESCENCA</t>
  </si>
  <si>
    <t>ZILMAR QUINTAL DOMINGUES NETO</t>
  </si>
  <si>
    <t>FUNCIONÁRIO</t>
  </si>
  <si>
    <t>Visa-vale - Alimentação</t>
  </si>
  <si>
    <t>BRUNA MENDES TEODORO</t>
  </si>
  <si>
    <t>CARMILDA COSTA VIANA DE OLIVEIRA</t>
  </si>
  <si>
    <t>01.01.094.04.0.421.001</t>
  </si>
  <si>
    <t>PGJ/MG - MANGA</t>
  </si>
  <si>
    <t>CICERO WELLINGTON INACIO DA SILVA</t>
  </si>
  <si>
    <t>GISELA REZENDE DEZUANI</t>
  </si>
  <si>
    <t>JOSENICE LOPES DA MATA FERREIRA</t>
  </si>
  <si>
    <t>LIDIA FERNANDES DE LIMA MARQUES</t>
  </si>
  <si>
    <t>MIGUEL ANGELO RODRIGUES</t>
  </si>
  <si>
    <t>THOMAZ AUGUSTO PEREIRA MACHADO</t>
  </si>
  <si>
    <t>WANDERSON CASTRO DE SOUZA</t>
  </si>
  <si>
    <t>ANDRESA TEIXEIRA DO ESPIRITO SANTO COSTA</t>
  </si>
  <si>
    <t>BRUNO MICHELL ALCANTARA DE SOUZA</t>
  </si>
  <si>
    <t>MARCOS ANTONIO SOARES</t>
  </si>
  <si>
    <t>NILMA EFIGENIA COSTA</t>
  </si>
  <si>
    <t>ANALTO PEREIRA DUARTE</t>
  </si>
  <si>
    <t>01.01.094.01.3.411.001</t>
  </si>
  <si>
    <t>PGJ/MG - DIAMANTINA - MOTORISTAS</t>
  </si>
  <si>
    <t>78587</t>
  </si>
  <si>
    <t>AVANIR GERALDO ALVES JUNIOR</t>
  </si>
  <si>
    <t>CAMILA ALVES DE SOUZA DA MATA</t>
  </si>
  <si>
    <t>DANIEL AZEVEDO DE BESSA</t>
  </si>
  <si>
    <t>MARIA IGNES DE CASTRO</t>
  </si>
  <si>
    <t>MAYRA DANTAS DA ROCHA</t>
  </si>
  <si>
    <t>AURELIANO CANDIDO DA CRUZ</t>
  </si>
  <si>
    <t>JACKSON RIBEIRO</t>
  </si>
  <si>
    <t>EDRIANO DOS REIS ARAUJO</t>
  </si>
  <si>
    <t>EMERSON NOGUEIRA FURTADO</t>
  </si>
  <si>
    <t>JANE EIRE APOLINARIO MOREIRA</t>
  </si>
  <si>
    <t>01.01.094.04.0.922.001</t>
  </si>
  <si>
    <t>PGJ/MG - COMARCA ITAGUARA</t>
  </si>
  <si>
    <t>MARIA JOSE DE SOUSA PEREIRA</t>
  </si>
  <si>
    <t>01.01.094.04.0.219.002</t>
  </si>
  <si>
    <t>PGJ/MG - OLIVEIRA</t>
  </si>
  <si>
    <t>MANOEL APARECIDO DOS SANTOS</t>
  </si>
  <si>
    <t>SM</t>
  </si>
  <si>
    <t>MARIA JOSE FERREIRA DOS SANTOS</t>
  </si>
  <si>
    <t>01.01.094.04.0.902.001</t>
  </si>
  <si>
    <t>PGJ/MG - COMARCA ARINOS</t>
  </si>
  <si>
    <t>MARIA JOSE SOARES DA COSTA</t>
  </si>
  <si>
    <t>CASSIO AUGUSTO SILVA DE ASSIS</t>
  </si>
  <si>
    <t>LUCIANO JUNIO LUIZ RAMALHO</t>
  </si>
  <si>
    <t>NAIARA MARCIA FERREIRA DE SOUZA HERMONT</t>
  </si>
  <si>
    <t>ALESSANDRA MARIA DA SILVA CASTRO</t>
  </si>
  <si>
    <t>DAVI DE JESUS BRUZINGA</t>
  </si>
  <si>
    <t>FRANCISCA FERREIRA ALBERTINO</t>
  </si>
  <si>
    <t>ROSSANA BRIGIDA CALIARI ARIZE</t>
  </si>
  <si>
    <t>RMT</t>
  </si>
  <si>
    <t>80388</t>
  </si>
  <si>
    <t>LUCIA AMELIA DOS REIS KNUPP LOPES</t>
  </si>
  <si>
    <t>01.01.094.04.0.318.001</t>
  </si>
  <si>
    <t>PGJ/MG - COMARCA DE RESPLENDOR</t>
  </si>
  <si>
    <t>AIAMA DE CASSIA PEREIRA HORTA</t>
  </si>
  <si>
    <t>ALDA ARAUJO GOMES</t>
  </si>
  <si>
    <t>ANDREIA FLOR PERPETUO DOS SANTOS</t>
  </si>
  <si>
    <t>APARECIDA DOS REIS SOARES GUEDES</t>
  </si>
  <si>
    <t>BIANCA SILVA MARQUES</t>
  </si>
  <si>
    <t>01.01.094.04.0.465.001</t>
  </si>
  <si>
    <t>PGJ/MG - COMARCA DE SAO JOAO DA PONTE</t>
  </si>
  <si>
    <t>CARLOS ALEXANDRE FERREIRA</t>
  </si>
  <si>
    <t>CESAR MARQUES DOS SANTOS</t>
  </si>
  <si>
    <t>DALVA DE JESUS PIRES DA SILVA</t>
  </si>
  <si>
    <t>IGOR BRUNO DA COSTA</t>
  </si>
  <si>
    <t>JOSE CARLOS TEXEIRA DE SOUZA</t>
  </si>
  <si>
    <t>JOSIANE DOS SANTOS RODRIGUES</t>
  </si>
  <si>
    <t>KARINE CRISTINA COELHO CANDIDO</t>
  </si>
  <si>
    <t>LUCAS HENRIQUE GOMES DA SILVA</t>
  </si>
  <si>
    <t>LUZIMAR DE ARAUJO CARMARGOS</t>
  </si>
  <si>
    <t>01.01.094.01.3.712.001</t>
  </si>
  <si>
    <t>PGJ/MG - MOTORISTA - ITUIUTABA</t>
  </si>
  <si>
    <t>MARIA DAS DORES MARCOLINO</t>
  </si>
  <si>
    <t>NATA VINICIUS PIO GOMES</t>
  </si>
  <si>
    <t>01.01.094.04.0.106.001</t>
  </si>
  <si>
    <t>PGJ/MG - COMARCA DE IGARAPE</t>
  </si>
  <si>
    <t>PAULO APARECIDO PEDROSA</t>
  </si>
  <si>
    <t>RICARDO DE SOUZA VIEIRA</t>
  </si>
  <si>
    <t>VALDEIR BISPO DOS SANTOS</t>
  </si>
  <si>
    <t>VINICIUS TIAGO DE OLIVEIRA</t>
  </si>
  <si>
    <t>APARECIDA MARIA DE SOUZA</t>
  </si>
  <si>
    <t>01.01.094.04.0.130.001</t>
  </si>
  <si>
    <t>PGJ / MG - COMARCA CARMOPOLIS DE MINAS</t>
  </si>
  <si>
    <t>BARBARA BEATRIZ ALVES COUTO</t>
  </si>
  <si>
    <t>CAMILA GONCALVES DE ANDRADE</t>
  </si>
  <si>
    <t>FRANK CERQUEIRA SANTOS</t>
  </si>
  <si>
    <t>GABRIELLE SANTANA SILVA</t>
  </si>
  <si>
    <t>01.01.094.04.0.910.001</t>
  </si>
  <si>
    <t>PGJ/MG - COMARCA DE CANAPOLIS</t>
  </si>
  <si>
    <t>HALYSON ROBERTO GUEDES</t>
  </si>
  <si>
    <t>ISLENE RODRIGUES DA CRUZ</t>
  </si>
  <si>
    <t>JEFFERSON MAIA GONCALVES</t>
  </si>
  <si>
    <t>LEANDRO FELIPE WINTER NUNES</t>
  </si>
  <si>
    <t>LENI MARIA RIBEIRO</t>
  </si>
  <si>
    <t>01.01.094.04.0.846.001</t>
  </si>
  <si>
    <t>PGJ / MG - COMARCA DE MARTINHO CAMPOS</t>
  </si>
  <si>
    <t>MAISA GAIO BESE</t>
  </si>
  <si>
    <t>MARIA DAS GRACAS SILVA</t>
  </si>
  <si>
    <t>MARLENE DA SILVA MEDEIROS</t>
  </si>
  <si>
    <t>CARTÃO BHBUS - TARIFA J - METRO ORIGEM "A" VL 0,90</t>
  </si>
  <si>
    <t>CARTÃO BHBUS - TARIFA R - METRO 1,80</t>
  </si>
  <si>
    <t>SALÁRIO</t>
  </si>
  <si>
    <t>72874</t>
  </si>
  <si>
    <t>75635</t>
  </si>
  <si>
    <t>ERIKA ALCEBIADES DOMINGOS</t>
  </si>
  <si>
    <t>EVERSON SILVIO FERREIRA</t>
  </si>
  <si>
    <t>PGJ/MG - MOTORISTA BARRO PRETO / 703</t>
  </si>
  <si>
    <t>FABIANA GUIOMAR MARTINS VIEIRA</t>
  </si>
  <si>
    <t>FABIANO BASTOS MARINHO</t>
  </si>
  <si>
    <t>01.01.094.01.3.124.001</t>
  </si>
  <si>
    <t>PGJ/MG SETE LAGOAS - MOTORISTAS</t>
  </si>
  <si>
    <t>FABRICIO DA SILVA PEREIRA</t>
  </si>
  <si>
    <t>GERSON SOARES RIOS</t>
  </si>
  <si>
    <t>73998</t>
  </si>
  <si>
    <t>75038</t>
  </si>
  <si>
    <t>GILMAR DE FREITAS COSTA</t>
  </si>
  <si>
    <t>GRAZIELE ARCANJO SANTARELLI</t>
  </si>
  <si>
    <t>JANAINA GOMES DOS SANTOS</t>
  </si>
  <si>
    <t>JANAINA RODRIGUES DA SILVA</t>
  </si>
  <si>
    <t>72163</t>
  </si>
  <si>
    <t>LOURDES MOREIRA DE SOUZA</t>
  </si>
  <si>
    <t>LUCAS DIAS DA SILVA</t>
  </si>
  <si>
    <t>71373</t>
  </si>
  <si>
    <t>MARCELLA RODRIGUES DE SOUZA</t>
  </si>
  <si>
    <t>MARCOS JOSE RESENDE</t>
  </si>
  <si>
    <t>77022</t>
  </si>
  <si>
    <t>72220</t>
  </si>
  <si>
    <t>MARIA DE LOURDES SILVA PAIVA</t>
  </si>
  <si>
    <t>MARIA LUIZA FERREIRA DA SILVA</t>
  </si>
  <si>
    <t>NILCEIA PEREIRA DE OLIVEIRA</t>
  </si>
  <si>
    <t>72299</t>
  </si>
  <si>
    <t>VALDIANE MARIA PEREIRA DE OLIVEIRA</t>
  </si>
  <si>
    <t>VERONICA TOMAZ PERPETUO</t>
  </si>
  <si>
    <t>VIVIANE PEREIRA</t>
  </si>
  <si>
    <t>ALLYNNE ISABELLA SANTIAGO RODRIGUES</t>
  </si>
  <si>
    <t>ANA PAULA GANDARA REIS FERREIRA</t>
  </si>
  <si>
    <t>DIOGO FERNANDES TORRES</t>
  </si>
  <si>
    <t>ELIS CARMO LEITE</t>
  </si>
  <si>
    <t>FLAVIANE PORTO</t>
  </si>
  <si>
    <t>GUILHERME HENRIQUE SILVA MARTINS</t>
  </si>
  <si>
    <t>HELEN DE FATIMA NASCIMENTO</t>
  </si>
  <si>
    <t>IAGO MOREIRA ALBINO</t>
  </si>
  <si>
    <t>IAN PIMENTA TROPIA</t>
  </si>
  <si>
    <t>JHONATAN PHILIPPE NEVES CONDE</t>
  </si>
  <si>
    <t>JOANA SIMPLICIO CARDOSO</t>
  </si>
  <si>
    <t>JUAREZ GEOVANE DE OLIVEIRA</t>
  </si>
  <si>
    <t>MARCOS VINICIOS BRITO DE SOUZA</t>
  </si>
  <si>
    <t>MARICELIA LEOCADIA CARDOSO</t>
  </si>
  <si>
    <t>NAYARA LOPES MEDINA</t>
  </si>
  <si>
    <t>SILVANA PEREIRA DA COSTA</t>
  </si>
  <si>
    <t>WANDERLEIA BRITO SILVA</t>
  </si>
  <si>
    <t>WESLEY LEONARDO SILVA</t>
  </si>
  <si>
    <t>WILLIAM RODRIGO VIEIRA DOS SANTOS</t>
  </si>
  <si>
    <t>PALOMA BATISTA PERDIGAO</t>
  </si>
  <si>
    <t>MARCELO FERNANDO DE PAULA</t>
  </si>
  <si>
    <t>JOAO GONCALVES DINIZ</t>
  </si>
  <si>
    <t>OZIEL LOPES</t>
  </si>
  <si>
    <t>ELZA VIANA GOMES</t>
  </si>
  <si>
    <t>JOSE DIVINO FRANCISCO</t>
  </si>
  <si>
    <t>RENATA ELIANE ROBERTO</t>
  </si>
  <si>
    <t>76223</t>
  </si>
  <si>
    <t>65735</t>
  </si>
  <si>
    <t>57792</t>
  </si>
  <si>
    <t>76816</t>
  </si>
  <si>
    <t>29419</t>
  </si>
  <si>
    <t>76698</t>
  </si>
  <si>
    <t>81587</t>
  </si>
  <si>
    <t>77741</t>
  </si>
  <si>
    <t>43350</t>
  </si>
  <si>
    <t>71739</t>
  </si>
  <si>
    <t>75807</t>
  </si>
  <si>
    <t>66219</t>
  </si>
  <si>
    <t>63278</t>
  </si>
  <si>
    <t>36299</t>
  </si>
  <si>
    <t>75686</t>
  </si>
  <si>
    <t>72845</t>
  </si>
  <si>
    <t>74002</t>
  </si>
  <si>
    <t>73280</t>
  </si>
  <si>
    <t>76827</t>
  </si>
  <si>
    <t>71225</t>
  </si>
  <si>
    <t>69243</t>
  </si>
  <si>
    <t>73800</t>
  </si>
  <si>
    <t>MARIA MADALENA FECUNDO DOS SANTOS</t>
  </si>
  <si>
    <t>68529</t>
  </si>
  <si>
    <t>42955</t>
  </si>
  <si>
    <t>40258</t>
  </si>
  <si>
    <t>69736</t>
  </si>
  <si>
    <t>74484</t>
  </si>
  <si>
    <t>00094.010100464.0010583.00</t>
  </si>
  <si>
    <t>85300</t>
  </si>
  <si>
    <t>PGJ/MG - MOTORISTAS - TEÓFILO OTONI</t>
  </si>
  <si>
    <t>PROCURADORIA MOTORISTA</t>
  </si>
  <si>
    <t>74000</t>
  </si>
  <si>
    <t>00094.010100464.0003741.00</t>
  </si>
  <si>
    <t>85070</t>
  </si>
  <si>
    <t>PGJ/MG - MOTORISTAS - UBERABA</t>
  </si>
  <si>
    <t>78483</t>
  </si>
  <si>
    <t>00094.010100464.0011280.00</t>
  </si>
  <si>
    <t>92843</t>
  </si>
  <si>
    <t>PGJ/MG - MOTORISTAS - DIAMANTINA</t>
  </si>
  <si>
    <t>74110</t>
  </si>
  <si>
    <t>00094.010100464.0004099.00</t>
  </si>
  <si>
    <t>85180</t>
  </si>
  <si>
    <t>PGJ/MG - MOTORISTAS - UBÁ</t>
  </si>
  <si>
    <t>00094.010100464.0005379.00</t>
  </si>
  <si>
    <t>84679</t>
  </si>
  <si>
    <t>PGJ/MG - MOTORISTAS - JUIZ DE FORA</t>
  </si>
  <si>
    <t>73929</t>
  </si>
  <si>
    <t>00094.010100464.0003732.00</t>
  </si>
  <si>
    <t>85386</t>
  </si>
  <si>
    <t>PGJ/MG - MOTORISTAS - BHZ - ALV. CABRAL</t>
  </si>
  <si>
    <t>78666</t>
  </si>
  <si>
    <t>75672</t>
  </si>
  <si>
    <t>73919</t>
  </si>
  <si>
    <t>76716</t>
  </si>
  <si>
    <t>80494</t>
  </si>
  <si>
    <t>73989</t>
  </si>
  <si>
    <t>00094.010100464.0009466.00</t>
  </si>
  <si>
    <t>85094</t>
  </si>
  <si>
    <t>PGJ/MG - MOTORISTAS - UBERLÂNDIA</t>
  </si>
  <si>
    <t>00094.010100464.0004102.00</t>
  </si>
  <si>
    <t>84514</t>
  </si>
  <si>
    <t>PGJ/MG - MOTORISTAS - VESPASIANO</t>
  </si>
  <si>
    <t>76487</t>
  </si>
  <si>
    <t>00094.010100464.0008444.00</t>
  </si>
  <si>
    <t>84772</t>
  </si>
  <si>
    <t>PGJ/MG - MOTORISTAS - PATOS DE MINAS</t>
  </si>
  <si>
    <t>73939</t>
  </si>
  <si>
    <t>73984</t>
  </si>
  <si>
    <t>00094.010100464.0007115.00</t>
  </si>
  <si>
    <t>85056</t>
  </si>
  <si>
    <t>PGJ/MG - MOTORISTAS - MONTES CLAROS</t>
  </si>
  <si>
    <t>00094.010100464.0000551.00</t>
  </si>
  <si>
    <t>85166</t>
  </si>
  <si>
    <t>PGJ/MG - MOTORISTAS - GOV VALADARES</t>
  </si>
  <si>
    <t>73941</t>
  </si>
  <si>
    <t>00094.010100464.0005394.00</t>
  </si>
  <si>
    <t>84552</t>
  </si>
  <si>
    <t>PGJ/MG - MOTORISTAS - BETIM</t>
  </si>
  <si>
    <t>73964</t>
  </si>
  <si>
    <t>00094.010100464.0010577.00</t>
  </si>
  <si>
    <t>85207</t>
  </si>
  <si>
    <t>PGJ/MG - MOTORISTAS - LAVRAS</t>
  </si>
  <si>
    <t>82333</t>
  </si>
  <si>
    <t>73951</t>
  </si>
  <si>
    <t>73927</t>
  </si>
  <si>
    <t>73902</t>
  </si>
  <si>
    <t>73908</t>
  </si>
  <si>
    <t>73943</t>
  </si>
  <si>
    <t>79631</t>
  </si>
  <si>
    <t>73950</t>
  </si>
  <si>
    <t>73987</t>
  </si>
  <si>
    <t>00094.010100464.0004101.00</t>
  </si>
  <si>
    <t>85111</t>
  </si>
  <si>
    <t>PGJ/MG - MOTORISTAS - DIVINÓPOLIS</t>
  </si>
  <si>
    <t>73995</t>
  </si>
  <si>
    <t>58549</t>
  </si>
  <si>
    <t>73944</t>
  </si>
  <si>
    <t>73996</t>
  </si>
  <si>
    <t>73986</t>
  </si>
  <si>
    <t>73999</t>
  </si>
  <si>
    <t>81816</t>
  </si>
  <si>
    <t>00094.010100464.0003739.00</t>
  </si>
  <si>
    <t>84576</t>
  </si>
  <si>
    <t>PGJ/MG - MOTORISTAS - CONS. LAFAIETE</t>
  </si>
  <si>
    <t>77633</t>
  </si>
  <si>
    <t>74004</t>
  </si>
  <si>
    <t>00094.010100464.0010585.00</t>
  </si>
  <si>
    <t>85348</t>
  </si>
  <si>
    <t>PGJ/MG - MOTORISTAS - NOVA LIMA</t>
  </si>
  <si>
    <t>NVL</t>
  </si>
  <si>
    <t>74871</t>
  </si>
  <si>
    <t>74005</t>
  </si>
  <si>
    <t>73907</t>
  </si>
  <si>
    <t>00094.010100464.0003755.00</t>
  </si>
  <si>
    <t>84813</t>
  </si>
  <si>
    <t>PGJ/MG - MOTORISTAS - POUSO ALEGRE</t>
  </si>
  <si>
    <t>73997</t>
  </si>
  <si>
    <t>74006</t>
  </si>
  <si>
    <t>82446</t>
  </si>
  <si>
    <t>73931</t>
  </si>
  <si>
    <t>73904</t>
  </si>
  <si>
    <t>PGJ/MG - NOVO CONTRATO</t>
  </si>
  <si>
    <t>74873</t>
  </si>
  <si>
    <t>74874</t>
  </si>
  <si>
    <t>82243</t>
  </si>
  <si>
    <t>80164</t>
  </si>
  <si>
    <t>73936</t>
  </si>
  <si>
    <t>73991</t>
  </si>
  <si>
    <t>00094.010100464.0010578.00</t>
  </si>
  <si>
    <t>85221</t>
  </si>
  <si>
    <t>PGJ/MG - MOTORISTAS - PASSOS</t>
  </si>
  <si>
    <t>73932</t>
  </si>
  <si>
    <t>00094.010100464.0009461.00</t>
  </si>
  <si>
    <t>84590</t>
  </si>
  <si>
    <t>PGJ/MG - MOTORISTAS - CONTAGEM</t>
  </si>
  <si>
    <t>73906</t>
  </si>
  <si>
    <t>75674</t>
  </si>
  <si>
    <t>73928</t>
  </si>
  <si>
    <t>78475</t>
  </si>
  <si>
    <t>83229</t>
  </si>
  <si>
    <t>75681</t>
  </si>
  <si>
    <t>74003</t>
  </si>
  <si>
    <t>00094.010100464.0010586.00</t>
  </si>
  <si>
    <t>85362</t>
  </si>
  <si>
    <t>PGJ/MG - MOTORISTAS - RIBEIRÃO DA NEVES</t>
  </si>
  <si>
    <t>80507</t>
  </si>
  <si>
    <t>00094.010100464.0003746.00</t>
  </si>
  <si>
    <t>106333</t>
  </si>
  <si>
    <t>PGJ/MG - MOTORISTAS - ITUIUTABA</t>
  </si>
  <si>
    <t>82425</t>
  </si>
  <si>
    <t>73947</t>
  </si>
  <si>
    <t>81626</t>
  </si>
  <si>
    <t>00094.010100464.0010587.00</t>
  </si>
  <si>
    <t>85403</t>
  </si>
  <si>
    <t>PGJ/MG - MOTORISTAS - SÃO JOÃO DEL REY</t>
  </si>
  <si>
    <t>73935</t>
  </si>
  <si>
    <t>73905</t>
  </si>
  <si>
    <t>73934</t>
  </si>
  <si>
    <t>73990</t>
  </si>
  <si>
    <t>73920</t>
  </si>
  <si>
    <t>73903</t>
  </si>
  <si>
    <t>73949</t>
  </si>
  <si>
    <t>73937</t>
  </si>
  <si>
    <t>73911</t>
  </si>
  <si>
    <t>73833</t>
  </si>
  <si>
    <t>77720</t>
  </si>
  <si>
    <t>73952</t>
  </si>
  <si>
    <t>00094.010100464.0003753.00</t>
  </si>
  <si>
    <t>84796</t>
  </si>
  <si>
    <t>PGJ/MG - MOTORISTAS - POÇOS DE CALDAS</t>
  </si>
  <si>
    <t>73945</t>
  </si>
  <si>
    <t>73832</t>
  </si>
  <si>
    <t>73942</t>
  </si>
  <si>
    <t>73933</t>
  </si>
  <si>
    <t>73910</t>
  </si>
  <si>
    <t>73946</t>
  </si>
  <si>
    <t>73988</t>
  </si>
  <si>
    <t>73922</t>
  </si>
  <si>
    <t>73923</t>
  </si>
  <si>
    <t>73926</t>
  </si>
  <si>
    <t>73924</t>
  </si>
  <si>
    <t>73925</t>
  </si>
  <si>
    <t>82335</t>
  </si>
  <si>
    <t>73938</t>
  </si>
  <si>
    <t>81425</t>
  </si>
  <si>
    <t>00094.010100464.0010584.00</t>
  </si>
  <si>
    <t>85324</t>
  </si>
  <si>
    <t>PGJ/MG - MOTORISTAS - SETE LAGOAS</t>
  </si>
  <si>
    <t>Código do centro de controle do apolo</t>
  </si>
  <si>
    <t>CCTRLCODRED</t>
  </si>
  <si>
    <t>CCTRLNOME</t>
  </si>
  <si>
    <t>Descrição do contrato</t>
  </si>
  <si>
    <t>Rota</t>
  </si>
  <si>
    <t>cod_linha_1</t>
  </si>
  <si>
    <t>nom_linha_1</t>
  </si>
  <si>
    <t>trf_linha_1</t>
  </si>
  <si>
    <t>ndu_linha_1</t>
  </si>
  <si>
    <t>qtd_linha_1</t>
  </si>
  <si>
    <t>vlc_linha_1</t>
  </si>
  <si>
    <t>cod_linha_2</t>
  </si>
  <si>
    <t>nom_linha_2</t>
  </si>
  <si>
    <t>trf_linha_2</t>
  </si>
  <si>
    <t>ndu_linha_2</t>
  </si>
  <si>
    <t>qtd_linha_2</t>
  </si>
  <si>
    <t>vlc_linha_2</t>
  </si>
  <si>
    <t>cod_linha_3</t>
  </si>
  <si>
    <t>nom_linha_3</t>
  </si>
  <si>
    <t>trf_linha_3</t>
  </si>
  <si>
    <t>ndu_linha_3</t>
  </si>
  <si>
    <t>qtd_linha_3</t>
  </si>
  <si>
    <t>vlc_linha_3</t>
  </si>
  <si>
    <t>cod_linha_4</t>
  </si>
  <si>
    <t>nom_linha_4</t>
  </si>
  <si>
    <t>trf_linha_4</t>
  </si>
  <si>
    <t>ndu_linha_4</t>
  </si>
  <si>
    <t>qtd_linha_4</t>
  </si>
  <si>
    <t>vlc_linha_4</t>
  </si>
  <si>
    <t>cod_linha_5</t>
  </si>
  <si>
    <t>nom_linha_5</t>
  </si>
  <si>
    <t>trf_linha_5</t>
  </si>
  <si>
    <t>ndu_linha_5</t>
  </si>
  <si>
    <t>qtd_linha_5</t>
  </si>
  <si>
    <t>vlc_linha_5</t>
  </si>
  <si>
    <t>cod_ben_1</t>
  </si>
  <si>
    <t>nom_ben_1</t>
  </si>
  <si>
    <t>vru_ben_1</t>
  </si>
  <si>
    <t>qtd_ben_1</t>
  </si>
  <si>
    <t>vlc_ben_1</t>
  </si>
  <si>
    <t>DESC.VT</t>
  </si>
  <si>
    <t>DESC.VA</t>
  </si>
  <si>
    <t>80905</t>
  </si>
  <si>
    <t>72858</t>
  </si>
  <si>
    <t>64488</t>
  </si>
  <si>
    <t>72800</t>
  </si>
  <si>
    <t>80301</t>
  </si>
  <si>
    <t>76159</t>
  </si>
  <si>
    <t>53970</t>
  </si>
  <si>
    <t>46194</t>
  </si>
  <si>
    <t>82163</t>
  </si>
  <si>
    <t>69424</t>
  </si>
  <si>
    <t>76580</t>
  </si>
  <si>
    <t>73094</t>
  </si>
  <si>
    <t>75637</t>
  </si>
  <si>
    <t>36174</t>
  </si>
  <si>
    <t>41731</t>
  </si>
  <si>
    <t>29355</t>
  </si>
  <si>
    <t>74150</t>
  </si>
  <si>
    <t>56406</t>
  </si>
  <si>
    <t>53283</t>
  </si>
  <si>
    <t>82290</t>
  </si>
  <si>
    <t>76494</t>
  </si>
  <si>
    <t>30416</t>
  </si>
  <si>
    <t>78533</t>
  </si>
  <si>
    <t>70839</t>
  </si>
  <si>
    <t>72540</t>
  </si>
  <si>
    <t>29359</t>
  </si>
  <si>
    <t>70482</t>
  </si>
  <si>
    <t>80706</t>
  </si>
  <si>
    <t>70965</t>
  </si>
  <si>
    <t>82712</t>
  </si>
  <si>
    <t>70664</t>
  </si>
  <si>
    <t>74210</t>
  </si>
  <si>
    <t>64291</t>
  </si>
  <si>
    <t>66283</t>
  </si>
  <si>
    <t>75925</t>
  </si>
  <si>
    <t>29346</t>
  </si>
  <si>
    <t>73162</t>
  </si>
  <si>
    <t>73312</t>
  </si>
  <si>
    <t>80624</t>
  </si>
  <si>
    <t>81243</t>
  </si>
  <si>
    <t>29343</t>
  </si>
  <si>
    <t>70215</t>
  </si>
  <si>
    <t>29403</t>
  </si>
  <si>
    <t>75587</t>
  </si>
  <si>
    <t>58196</t>
  </si>
  <si>
    <t>69244</t>
  </si>
  <si>
    <t>52368</t>
  </si>
  <si>
    <t>69474</t>
  </si>
  <si>
    <t>78862</t>
  </si>
  <si>
    <t>81004</t>
  </si>
  <si>
    <t>76406</t>
  </si>
  <si>
    <t>83182</t>
  </si>
  <si>
    <t>BEIBIANE CRISTINA TEAGO</t>
  </si>
  <si>
    <t>73447</t>
  </si>
  <si>
    <t>80612</t>
  </si>
  <si>
    <t>74815</t>
  </si>
  <si>
    <t>78672</t>
  </si>
  <si>
    <t>78581</t>
  </si>
  <si>
    <t>78828</t>
  </si>
  <si>
    <t>81134</t>
  </si>
  <si>
    <t>44954</t>
  </si>
  <si>
    <t>80755</t>
  </si>
  <si>
    <t>55929</t>
  </si>
  <si>
    <t>29400</t>
  </si>
  <si>
    <t>78688</t>
  </si>
  <si>
    <t>79053</t>
  </si>
  <si>
    <t>76812</t>
  </si>
  <si>
    <t>62543</t>
  </si>
  <si>
    <t>51056</t>
  </si>
  <si>
    <t>73022</t>
  </si>
  <si>
    <t>36584</t>
  </si>
  <si>
    <t>77100</t>
  </si>
  <si>
    <t>80882</t>
  </si>
  <si>
    <t>78687</t>
  </si>
  <si>
    <t>29435</t>
  </si>
  <si>
    <t>67902</t>
  </si>
  <si>
    <t>75615</t>
  </si>
  <si>
    <t>35480</t>
  </si>
  <si>
    <t>57862</t>
  </si>
  <si>
    <t>82956</t>
  </si>
  <si>
    <t>CLAUDIELLE PEREIRA SALOMAO</t>
  </si>
  <si>
    <t>71711</t>
  </si>
  <si>
    <t>43871</t>
  </si>
  <si>
    <t>76627</t>
  </si>
  <si>
    <t>70803</t>
  </si>
  <si>
    <t>52480</t>
  </si>
  <si>
    <t>33792</t>
  </si>
  <si>
    <t>77130</t>
  </si>
  <si>
    <t>72888</t>
  </si>
  <si>
    <t>81061</t>
  </si>
  <si>
    <t>78829</t>
  </si>
  <si>
    <t>71242</t>
  </si>
  <si>
    <t>38624</t>
  </si>
  <si>
    <t>39280</t>
  </si>
  <si>
    <t>78251</t>
  </si>
  <si>
    <t>69922</t>
  </si>
  <si>
    <t>80362</t>
  </si>
  <si>
    <t>72142</t>
  </si>
  <si>
    <t>54027</t>
  </si>
  <si>
    <t>69286</t>
  </si>
  <si>
    <t>29449</t>
  </si>
  <si>
    <t>31905</t>
  </si>
  <si>
    <t>78429</t>
  </si>
  <si>
    <t>54661</t>
  </si>
  <si>
    <t>71313</t>
  </si>
  <si>
    <t>71132</t>
  </si>
  <si>
    <t>52437</t>
  </si>
  <si>
    <t>72315</t>
  </si>
  <si>
    <t>73569</t>
  </si>
  <si>
    <t>72877</t>
  </si>
  <si>
    <t>29425</t>
  </si>
  <si>
    <t>54195</t>
  </si>
  <si>
    <t>78750</t>
  </si>
  <si>
    <t>53840</t>
  </si>
  <si>
    <t>75970</t>
  </si>
  <si>
    <t>79000</t>
  </si>
  <si>
    <t>52319</t>
  </si>
  <si>
    <t>70951</t>
  </si>
  <si>
    <t>72584</t>
  </si>
  <si>
    <t>76697</t>
  </si>
  <si>
    <t>77823</t>
  </si>
  <si>
    <t>63333</t>
  </si>
  <si>
    <t>60976</t>
  </si>
  <si>
    <t>76404</t>
  </si>
  <si>
    <t>77815</t>
  </si>
  <si>
    <t>82378</t>
  </si>
  <si>
    <t>72535</t>
  </si>
  <si>
    <t>77704</t>
  </si>
  <si>
    <t>74989</t>
  </si>
  <si>
    <t>81573</t>
  </si>
  <si>
    <t>73662</t>
  </si>
  <si>
    <t>76652</t>
  </si>
  <si>
    <t>82475</t>
  </si>
  <si>
    <t>71862</t>
  </si>
  <si>
    <t>68814</t>
  </si>
  <si>
    <t>81385</t>
  </si>
  <si>
    <t>72657</t>
  </si>
  <si>
    <t>50850</t>
  </si>
  <si>
    <t>35542</t>
  </si>
  <si>
    <t>81936</t>
  </si>
  <si>
    <t>29329</t>
  </si>
  <si>
    <t>34858</t>
  </si>
  <si>
    <t>54117</t>
  </si>
  <si>
    <t>81937</t>
  </si>
  <si>
    <t>81426</t>
  </si>
  <si>
    <t>44498</t>
  </si>
  <si>
    <t>38561</t>
  </si>
  <si>
    <t>42866</t>
  </si>
  <si>
    <t>68079</t>
  </si>
  <si>
    <t>75919</t>
  </si>
  <si>
    <t>68068</t>
  </si>
  <si>
    <t>81744</t>
  </si>
  <si>
    <t>71258</t>
  </si>
  <si>
    <t>21839</t>
  </si>
  <si>
    <t>60141</t>
  </si>
  <si>
    <t>73409</t>
  </si>
  <si>
    <t>32213</t>
  </si>
  <si>
    <t>72273</t>
  </si>
  <si>
    <t>71191</t>
  </si>
  <si>
    <t>74082</t>
  </si>
  <si>
    <t>82360</t>
  </si>
  <si>
    <t>57856</t>
  </si>
  <si>
    <t>59961</t>
  </si>
  <si>
    <t>FRANCISCA DARIA ROSA</t>
  </si>
  <si>
    <t>58038</t>
  </si>
  <si>
    <t>78324</t>
  </si>
  <si>
    <t>78460</t>
  </si>
  <si>
    <t>76468</t>
  </si>
  <si>
    <t>81234</t>
  </si>
  <si>
    <t>75090</t>
  </si>
  <si>
    <t>72505</t>
  </si>
  <si>
    <t>70135</t>
  </si>
  <si>
    <t>75903</t>
  </si>
  <si>
    <t>78484</t>
  </si>
  <si>
    <t>59259</t>
  </si>
  <si>
    <t>83017</t>
  </si>
  <si>
    <t>GISELLE APARECIDA SILVA REIS</t>
  </si>
  <si>
    <t>53989</t>
  </si>
  <si>
    <t>63888</t>
  </si>
  <si>
    <t>77178</t>
  </si>
  <si>
    <t>81586</t>
  </si>
  <si>
    <t>77397</t>
  </si>
  <si>
    <t>82059</t>
  </si>
  <si>
    <t>75325</t>
  </si>
  <si>
    <t>77705</t>
  </si>
  <si>
    <t>77425</t>
  </si>
  <si>
    <t>81222</t>
  </si>
  <si>
    <t>77131</t>
  </si>
  <si>
    <t>72331</t>
  </si>
  <si>
    <t>82238</t>
  </si>
  <si>
    <t>32354</t>
  </si>
  <si>
    <t>66275</t>
  </si>
  <si>
    <t>58067</t>
  </si>
  <si>
    <t>67136</t>
  </si>
  <si>
    <t>21489</t>
  </si>
  <si>
    <t>72233</t>
  </si>
  <si>
    <t>82274</t>
  </si>
  <si>
    <t>82355</t>
  </si>
  <si>
    <t>80611</t>
  </si>
  <si>
    <t>83198</t>
  </si>
  <si>
    <t>IGOR FERREIRA DE PAULA</t>
  </si>
  <si>
    <t>75928</t>
  </si>
  <si>
    <t>67517</t>
  </si>
  <si>
    <t>70484</t>
  </si>
  <si>
    <t>81319</t>
  </si>
  <si>
    <t>28850</t>
  </si>
  <si>
    <t>75968</t>
  </si>
  <si>
    <t>72995</t>
  </si>
  <si>
    <t>79045</t>
  </si>
  <si>
    <t>66323</t>
  </si>
  <si>
    <t>81931</t>
  </si>
  <si>
    <t>62548</t>
  </si>
  <si>
    <t>36832</t>
  </si>
  <si>
    <t>81773</t>
  </si>
  <si>
    <t>78794</t>
  </si>
  <si>
    <t>66329</t>
  </si>
  <si>
    <t>43489</t>
  </si>
  <si>
    <t>59866</t>
  </si>
  <si>
    <t>76125</t>
  </si>
  <si>
    <t>80919</t>
  </si>
  <si>
    <t>76177</t>
  </si>
  <si>
    <t>82759</t>
  </si>
  <si>
    <t>JESSICA LUANA LAGARES DA SILVA</t>
  </si>
  <si>
    <t>01.01.094.04.0.012.001</t>
  </si>
  <si>
    <t>PGJ/MG - CONSELHEIRO PENA</t>
  </si>
  <si>
    <t>70791</t>
  </si>
  <si>
    <t>58078</t>
  </si>
  <si>
    <t>82220</t>
  </si>
  <si>
    <t>29351</t>
  </si>
  <si>
    <t>82112</t>
  </si>
  <si>
    <t>37981</t>
  </si>
  <si>
    <t>73654</t>
  </si>
  <si>
    <t>29382</t>
  </si>
  <si>
    <t>76951</t>
  </si>
  <si>
    <t>52119</t>
  </si>
  <si>
    <t>66353</t>
  </si>
  <si>
    <t>37477</t>
  </si>
  <si>
    <t>76058</t>
  </si>
  <si>
    <t>77446</t>
  </si>
  <si>
    <t>74499</t>
  </si>
  <si>
    <t>81008</t>
  </si>
  <si>
    <t>54608</t>
  </si>
  <si>
    <t>72873</t>
  </si>
  <si>
    <t>80660</t>
  </si>
  <si>
    <t>82504</t>
  </si>
  <si>
    <t>66525</t>
  </si>
  <si>
    <t>50451</t>
  </si>
  <si>
    <t>77595</t>
  </si>
  <si>
    <t>72944</t>
  </si>
  <si>
    <t>53551</t>
  </si>
  <si>
    <t>78708</t>
  </si>
  <si>
    <t>76080</t>
  </si>
  <si>
    <t>80772</t>
  </si>
  <si>
    <t>70660</t>
  </si>
  <si>
    <t>72498</t>
  </si>
  <si>
    <t>77580</t>
  </si>
  <si>
    <t>56601</t>
  </si>
  <si>
    <t>82861</t>
  </si>
  <si>
    <t>JULIANA MARIA DE AZEVEDO ROSA</t>
  </si>
  <si>
    <t>80857</t>
  </si>
  <si>
    <t>73278</t>
  </si>
  <si>
    <t>52963</t>
  </si>
  <si>
    <t>66338</t>
  </si>
  <si>
    <t>68754</t>
  </si>
  <si>
    <t>78045</t>
  </si>
  <si>
    <t>71002</t>
  </si>
  <si>
    <t>81096</t>
  </si>
  <si>
    <t>68073</t>
  </si>
  <si>
    <t>81135</t>
  </si>
  <si>
    <t>54958</t>
  </si>
  <si>
    <t>77658</t>
  </si>
  <si>
    <t>75131</t>
  </si>
  <si>
    <t>29433</t>
  </si>
  <si>
    <t>78673</t>
  </si>
  <si>
    <t>68192</t>
  </si>
  <si>
    <t>76351</t>
  </si>
  <si>
    <t>76053</t>
  </si>
  <si>
    <t>29333</t>
  </si>
  <si>
    <t>81444</t>
  </si>
  <si>
    <t>42058</t>
  </si>
  <si>
    <t>46764</t>
  </si>
  <si>
    <t>77015</t>
  </si>
  <si>
    <t>81473</t>
  </si>
  <si>
    <t>80557</t>
  </si>
  <si>
    <t>58077</t>
  </si>
  <si>
    <t>79892</t>
  </si>
  <si>
    <t>77230</t>
  </si>
  <si>
    <t>54251</t>
  </si>
  <si>
    <t>46167</t>
  </si>
  <si>
    <t>66431</t>
  </si>
  <si>
    <t>83008</t>
  </si>
  <si>
    <t>LUCIMAR APARECIDA DA SILVA</t>
  </si>
  <si>
    <t>01.01.094.04.0.713.001</t>
  </si>
  <si>
    <t>PGJ/MG - ITURAMA</t>
  </si>
  <si>
    <t>76305</t>
  </si>
  <si>
    <t>56204</t>
  </si>
  <si>
    <t>66333</t>
  </si>
  <si>
    <t>70121</t>
  </si>
  <si>
    <t>77011</t>
  </si>
  <si>
    <t>70705</t>
  </si>
  <si>
    <t>52464</t>
  </si>
  <si>
    <t>69378</t>
  </si>
  <si>
    <t>29396</t>
  </si>
  <si>
    <t>53944</t>
  </si>
  <si>
    <t>54218</t>
  </si>
  <si>
    <t>78043</t>
  </si>
  <si>
    <t>81148</t>
  </si>
  <si>
    <t>78798</t>
  </si>
  <si>
    <t>77265</t>
  </si>
  <si>
    <t>81656</t>
  </si>
  <si>
    <t>63516</t>
  </si>
  <si>
    <t>29456</t>
  </si>
  <si>
    <t>72924</t>
  </si>
  <si>
    <t>75809</t>
  </si>
  <si>
    <t>78588</t>
  </si>
  <si>
    <t>71565</t>
  </si>
  <si>
    <t>58107</t>
  </si>
  <si>
    <t>71726</t>
  </si>
  <si>
    <t>77793</t>
  </si>
  <si>
    <t>82008</t>
  </si>
  <si>
    <t>71654</t>
  </si>
  <si>
    <t>70934</t>
  </si>
  <si>
    <t>76458</t>
  </si>
  <si>
    <t>29454</t>
  </si>
  <si>
    <t>21061</t>
  </si>
  <si>
    <t>72065</t>
  </si>
  <si>
    <t>68547</t>
  </si>
  <si>
    <t>40241</t>
  </si>
  <si>
    <t>73771</t>
  </si>
  <si>
    <t>66337</t>
  </si>
  <si>
    <t>29386</t>
  </si>
  <si>
    <t>55842</t>
  </si>
  <si>
    <t>80935</t>
  </si>
  <si>
    <t>51390</t>
  </si>
  <si>
    <t>82434</t>
  </si>
  <si>
    <t>51617</t>
  </si>
  <si>
    <t>27866</t>
  </si>
  <si>
    <t>44332</t>
  </si>
  <si>
    <t>71524</t>
  </si>
  <si>
    <t>36293</t>
  </si>
  <si>
    <t>61019</t>
  </si>
  <si>
    <t>81642</t>
  </si>
  <si>
    <t>66117</t>
  </si>
  <si>
    <t>57265</t>
  </si>
  <si>
    <t>78729</t>
  </si>
  <si>
    <t>68104</t>
  </si>
  <si>
    <t>70526</t>
  </si>
  <si>
    <t>66325</t>
  </si>
  <si>
    <t>78800</t>
  </si>
  <si>
    <t>79068</t>
  </si>
  <si>
    <t>78797</t>
  </si>
  <si>
    <t>29328</t>
  </si>
  <si>
    <t>26308</t>
  </si>
  <si>
    <t>81600</t>
  </si>
  <si>
    <t>26845</t>
  </si>
  <si>
    <t>34421</t>
  </si>
  <si>
    <t>81987</t>
  </si>
  <si>
    <t>33943</t>
  </si>
  <si>
    <t>74072</t>
  </si>
  <si>
    <t>66674</t>
  </si>
  <si>
    <t>81236</t>
  </si>
  <si>
    <t>75163</t>
  </si>
  <si>
    <t>68998</t>
  </si>
  <si>
    <t>78385</t>
  </si>
  <si>
    <t>67724</t>
  </si>
  <si>
    <t>MATILDE BARBOSA DE OLIVEIRA</t>
  </si>
  <si>
    <t>71368</t>
  </si>
  <si>
    <t>79797</t>
  </si>
  <si>
    <t>78812</t>
  </si>
  <si>
    <t>76445</t>
  </si>
  <si>
    <t>76461</t>
  </si>
  <si>
    <t>69290</t>
  </si>
  <si>
    <t>78492</t>
  </si>
  <si>
    <t>75146</t>
  </si>
  <si>
    <t>75451</t>
  </si>
  <si>
    <t>74722</t>
  </si>
  <si>
    <t>75281</t>
  </si>
  <si>
    <t>77302</t>
  </si>
  <si>
    <t>80269</t>
  </si>
  <si>
    <t>29360</t>
  </si>
  <si>
    <t>73509</t>
  </si>
  <si>
    <t>80664</t>
  </si>
  <si>
    <t>70017</t>
  </si>
  <si>
    <t>58659</t>
  </si>
  <si>
    <t>29415</t>
  </si>
  <si>
    <t>39425</t>
  </si>
  <si>
    <t>80427</t>
  </si>
  <si>
    <t>78741</t>
  </si>
  <si>
    <t>72198</t>
  </si>
  <si>
    <t>75454</t>
  </si>
  <si>
    <t>37219</t>
  </si>
  <si>
    <t>82460</t>
  </si>
  <si>
    <t>82411</t>
  </si>
  <si>
    <t>38966</t>
  </si>
  <si>
    <t>56410</t>
  </si>
  <si>
    <t>80617</t>
  </si>
  <si>
    <t>76881</t>
  </si>
  <si>
    <t>81237</t>
  </si>
  <si>
    <t>65877</t>
  </si>
  <si>
    <t>72470</t>
  </si>
  <si>
    <t>67612</t>
  </si>
  <si>
    <t>83214</t>
  </si>
  <si>
    <t>RAFAEL OLIVEIRA SAID</t>
  </si>
  <si>
    <t>70670</t>
  </si>
  <si>
    <t>67740</t>
  </si>
  <si>
    <t>32219</t>
  </si>
  <si>
    <t>59942</t>
  </si>
  <si>
    <t>73247</t>
  </si>
  <si>
    <t>82621</t>
  </si>
  <si>
    <t>29339</t>
  </si>
  <si>
    <t>39289</t>
  </si>
  <si>
    <t>61734</t>
  </si>
  <si>
    <t>72194</t>
  </si>
  <si>
    <t>75585</t>
  </si>
  <si>
    <t>34082</t>
  </si>
  <si>
    <t>80949</t>
  </si>
  <si>
    <t>72879</t>
  </si>
  <si>
    <t>70444</t>
  </si>
  <si>
    <t>67046</t>
  </si>
  <si>
    <t>70064</t>
  </si>
  <si>
    <t>76083</t>
  </si>
  <si>
    <t>35616</t>
  </si>
  <si>
    <t>52318</t>
  </si>
  <si>
    <t>66524</t>
  </si>
  <si>
    <t>52694</t>
  </si>
  <si>
    <t>29385</t>
  </si>
  <si>
    <t>30491</t>
  </si>
  <si>
    <t>83050</t>
  </si>
  <si>
    <t>73413</t>
  </si>
  <si>
    <t>58955</t>
  </si>
  <si>
    <t>71179</t>
  </si>
  <si>
    <t>78497</t>
  </si>
  <si>
    <t>71923</t>
  </si>
  <si>
    <t>35963</t>
  </si>
  <si>
    <t>80397</t>
  </si>
  <si>
    <t>30390</t>
  </si>
  <si>
    <t>75671</t>
  </si>
  <si>
    <t>82947</t>
  </si>
  <si>
    <t>SANDRA FERREIRA RODRIGUES VALADAO</t>
  </si>
  <si>
    <t>36908</t>
  </si>
  <si>
    <t>69647</t>
  </si>
  <si>
    <t>66280</t>
  </si>
  <si>
    <t>71138</t>
  </si>
  <si>
    <t>63773</t>
  </si>
  <si>
    <t>71248</t>
  </si>
  <si>
    <t>83075</t>
  </si>
  <si>
    <t>SILMA SIMONE CANDIDA SOARES</t>
  </si>
  <si>
    <t>82359</t>
  </si>
  <si>
    <t>35261</t>
  </si>
  <si>
    <t>74878</t>
  </si>
  <si>
    <t>67971</t>
  </si>
  <si>
    <t>69252</t>
  </si>
  <si>
    <t>39601</t>
  </si>
  <si>
    <t>66277</t>
  </si>
  <si>
    <t>70533</t>
  </si>
  <si>
    <t>75948</t>
  </si>
  <si>
    <t>68590</t>
  </si>
  <si>
    <t>78691</t>
  </si>
  <si>
    <t>68661</t>
  </si>
  <si>
    <t>66831</t>
  </si>
  <si>
    <t>78184</t>
  </si>
  <si>
    <t>80687</t>
  </si>
  <si>
    <t>18692</t>
  </si>
  <si>
    <t>81814</t>
  </si>
  <si>
    <t>76641</t>
  </si>
  <si>
    <t>77102</t>
  </si>
  <si>
    <t>46591</t>
  </si>
  <si>
    <t>78398</t>
  </si>
  <si>
    <t>29378</t>
  </si>
  <si>
    <t>46168</t>
  </si>
  <si>
    <t>39374</t>
  </si>
  <si>
    <t>29460</t>
  </si>
  <si>
    <t>59010</t>
  </si>
  <si>
    <t>29330</t>
  </si>
  <si>
    <t>81638</t>
  </si>
  <si>
    <t>31563</t>
  </si>
  <si>
    <t>13359</t>
  </si>
  <si>
    <t>81978</t>
  </si>
  <si>
    <t>44442</t>
  </si>
  <si>
    <t>67160</t>
  </si>
  <si>
    <t>80663</t>
  </si>
  <si>
    <t>50766</t>
  </si>
  <si>
    <t>81771</t>
  </si>
  <si>
    <t>29401</t>
  </si>
  <si>
    <t>30195</t>
  </si>
  <si>
    <t>71751</t>
  </si>
  <si>
    <t>58072</t>
  </si>
  <si>
    <t>66274</t>
  </si>
  <si>
    <t>83076</t>
  </si>
  <si>
    <t>WANDERLEI LEAL</t>
  </si>
  <si>
    <t>82288</t>
  </si>
  <si>
    <t>78675</t>
  </si>
  <si>
    <t>71740</t>
  </si>
  <si>
    <t>71835</t>
  </si>
  <si>
    <t>78329</t>
  </si>
  <si>
    <t>71872</t>
  </si>
  <si>
    <t>72488</t>
  </si>
  <si>
    <t>82931</t>
  </si>
  <si>
    <t>WELDER CASTRO PEREIRA ANDRADE</t>
  </si>
  <si>
    <t>60525</t>
  </si>
  <si>
    <t>76038</t>
  </si>
  <si>
    <t>78390</t>
  </si>
  <si>
    <t>82262</t>
  </si>
  <si>
    <t>75407</t>
  </si>
  <si>
    <t>37880</t>
  </si>
  <si>
    <t>76989</t>
  </si>
  <si>
    <t>51722</t>
  </si>
  <si>
    <t>ISS / PIS / COFINS</t>
  </si>
  <si>
    <t xml:space="preserve">CIDADE </t>
  </si>
  <si>
    <t>ALIQUOTA</t>
  </si>
  <si>
    <t>A</t>
  </si>
  <si>
    <t>BELO HORIZONTE</t>
  </si>
  <si>
    <t>F</t>
  </si>
  <si>
    <t>CONTAGEM</t>
  </si>
  <si>
    <t>UBERABA</t>
  </si>
  <si>
    <t>BETIM</t>
  </si>
  <si>
    <t>RIBEIRAO DAS NEVES</t>
  </si>
  <si>
    <t>GOVERNADOR VALADARES</t>
  </si>
  <si>
    <t>UBERLANDIA</t>
  </si>
  <si>
    <t>P</t>
  </si>
  <si>
    <t>PASSOS</t>
  </si>
  <si>
    <t>LAVRAS</t>
  </si>
  <si>
    <t>NOVA LIMA</t>
  </si>
  <si>
    <t>V</t>
  </si>
  <si>
    <t>PATOS DE MINAS</t>
  </si>
  <si>
    <t>ARAGUARI</t>
  </si>
  <si>
    <t>MONTES CLAROS</t>
  </si>
  <si>
    <t>DIVINOPOLIS</t>
  </si>
  <si>
    <t>ARAXA</t>
  </si>
  <si>
    <t>AGUAS FORMOSAS</t>
  </si>
  <si>
    <t>ITABIRITO</t>
  </si>
  <si>
    <t>JUIZ DE FORA</t>
  </si>
  <si>
    <t>E</t>
  </si>
  <si>
    <t>VICOSA</t>
  </si>
  <si>
    <t>JOAO PINHEIRO</t>
  </si>
  <si>
    <t>CONSELHEIRO LAFAIETE</t>
  </si>
  <si>
    <t>BARBACENA</t>
  </si>
  <si>
    <t>PEDRO LEOPOLDO</t>
  </si>
  <si>
    <t>SAO FRANCISCO</t>
  </si>
  <si>
    <t>MATEUS LEME</t>
  </si>
  <si>
    <t>ITUIUTABA</t>
  </si>
  <si>
    <t>VESPASIANO</t>
  </si>
  <si>
    <t>TEOFILO OTONI</t>
  </si>
  <si>
    <t>ARACUAI</t>
  </si>
  <si>
    <t>PARA DE MINAS</t>
  </si>
  <si>
    <t>ALFENAS</t>
  </si>
  <si>
    <t>JANUARIA</t>
  </si>
  <si>
    <t>PONTE NOVA</t>
  </si>
  <si>
    <t>SANTA VITORIA</t>
  </si>
  <si>
    <t>ITAJUBA</t>
  </si>
  <si>
    <t>Y</t>
  </si>
  <si>
    <t>COROMANDEL</t>
  </si>
  <si>
    <t>NOVA PONTE</t>
  </si>
  <si>
    <t>OURO PRETO</t>
  </si>
  <si>
    <t>VARGINHA</t>
  </si>
  <si>
    <t>JANAUBA</t>
  </si>
  <si>
    <t>IPATINGA</t>
  </si>
  <si>
    <t>SAO GONCALO DO SAPUCAI</t>
  </si>
  <si>
    <t>ITAMONTE</t>
  </si>
  <si>
    <t>FORMIGA</t>
  </si>
  <si>
    <t>CARMO DO PARANAIBA</t>
  </si>
  <si>
    <t>CORINTO</t>
  </si>
  <si>
    <t>FRUTAL</t>
  </si>
  <si>
    <t>CONGONHAS</t>
  </si>
  <si>
    <t>ITAUNA</t>
  </si>
  <si>
    <t>NOVA SERRANA</t>
  </si>
  <si>
    <t>ALMENARA</t>
  </si>
  <si>
    <t>SACRAMENTO</t>
  </si>
  <si>
    <t>TRES PONTAS</t>
  </si>
  <si>
    <t>I</t>
  </si>
  <si>
    <t>IBIA</t>
  </si>
  <si>
    <t>MURIAE</t>
  </si>
  <si>
    <t>TUPACIGUARA</t>
  </si>
  <si>
    <t>PITANGUI</t>
  </si>
  <si>
    <t>LUZ</t>
  </si>
  <si>
    <t>SAO JOAO DEL REI</t>
  </si>
  <si>
    <t>GUANHAES</t>
  </si>
  <si>
    <t>POCOS DE CALDAS</t>
  </si>
  <si>
    <t>UBA</t>
  </si>
  <si>
    <t>CARANGOLA</t>
  </si>
  <si>
    <t>POUSO ALEGRE</t>
  </si>
  <si>
    <t>SAO LOURENCO</t>
  </si>
  <si>
    <t>DIAMANTINA</t>
  </si>
  <si>
    <t>MONTE AZUL</t>
  </si>
  <si>
    <t>IBIRITE</t>
  </si>
  <si>
    <t>CAPELINHA</t>
  </si>
  <si>
    <t>CAETE</t>
  </si>
  <si>
    <t>SAO SEBASTIAO DO PARAISO</t>
  </si>
  <si>
    <t>SETE LAGOAS</t>
  </si>
  <si>
    <t>OURO FINO</t>
  </si>
  <si>
    <t>LEOPOLDINA</t>
  </si>
  <si>
    <t>PIUMHI</t>
  </si>
  <si>
    <t>BOA ESPERANCA</t>
  </si>
  <si>
    <t>CONQUISTA</t>
  </si>
  <si>
    <t>CAMPO BELO</t>
  </si>
  <si>
    <t>ARCOS</t>
  </si>
  <si>
    <t>SANTA RITA DO SAPUCAI</t>
  </si>
  <si>
    <t>U</t>
  </si>
  <si>
    <t>ITAMBACURI</t>
  </si>
  <si>
    <t>AIURUOCA</t>
  </si>
  <si>
    <t>SANTO ANTONIO DO MONTE</t>
  </si>
  <si>
    <t>PORTEIRINHA</t>
  </si>
  <si>
    <t>MIRAI</t>
  </si>
  <si>
    <t>ITABIRA</t>
  </si>
  <si>
    <t>CARATINGA</t>
  </si>
  <si>
    <t>MINAS NOVAS</t>
  </si>
  <si>
    <t>MANGA</t>
  </si>
  <si>
    <t>ITAGUARA</t>
  </si>
  <si>
    <t>OLIVEIRA</t>
  </si>
  <si>
    <t>ARINOS</t>
  </si>
  <si>
    <t>RESPLENDOR</t>
  </si>
  <si>
    <t>ANDRADAS</t>
  </si>
  <si>
    <t>MARTINHO CAMPOS</t>
  </si>
  <si>
    <t>CANAPOLIS</t>
  </si>
  <si>
    <t>POCO FUNDO</t>
  </si>
  <si>
    <t>CONSELHEIRO PENA</t>
  </si>
  <si>
    <t>SANTOS DUMONT</t>
  </si>
  <si>
    <t>ITURAMA</t>
  </si>
  <si>
    <t>RICHARD REIS GONCALVES DIOLINDO</t>
  </si>
  <si>
    <t>ALEXANDRA COLOMATTRE  BATISTA</t>
  </si>
  <si>
    <t>MARIO LUCIO GREGORIO</t>
  </si>
  <si>
    <t>CLEUBER GOMES DE ALMEIDA</t>
  </si>
  <si>
    <t>ANTONIO CARLOS DA CRUZ SOUZA</t>
  </si>
  <si>
    <t>LUCIENE MELLO</t>
  </si>
  <si>
    <t>LUCIENE IZABEL LOPES PEREIRA</t>
  </si>
  <si>
    <t>ALICE DA ROCHA PIMENTA CARDOSO</t>
  </si>
  <si>
    <t>01.01.094.04.0.229.001</t>
  </si>
  <si>
    <t>PGJ/MG - COMARCA DE CASSIA</t>
  </si>
  <si>
    <t>LUANA RESENDE FERNANDES</t>
  </si>
  <si>
    <t>ROGERIO BERNARDO DA SILVA</t>
  </si>
  <si>
    <t>FELIPE BRANDAO SALLES</t>
  </si>
  <si>
    <t>Unidade Executora</t>
  </si>
  <si>
    <t>ISS %</t>
  </si>
  <si>
    <t>Resumo aliquotas</t>
  </si>
  <si>
    <t>Aliquota S/ fatura - ISSQN</t>
  </si>
  <si>
    <t>Aliquota S/ fatura - COFINS</t>
  </si>
  <si>
    <t>Aliquota S/ fatura - PIS</t>
  </si>
  <si>
    <t>Total Geral Grupo G</t>
  </si>
  <si>
    <t>TOTAL GERAL GLOBAL</t>
  </si>
  <si>
    <t>SANTA LUZIA</t>
  </si>
  <si>
    <t>OBSERVAÇÕES</t>
  </si>
  <si>
    <t>83295</t>
  </si>
  <si>
    <t>83384</t>
  </si>
  <si>
    <t>83644</t>
  </si>
  <si>
    <t>ALTAMIRO COSTA GOULART</t>
  </si>
  <si>
    <t>83386</t>
  </si>
  <si>
    <t>83389</t>
  </si>
  <si>
    <t>ANA MARIA DOS SANTOS DUARTE</t>
  </si>
  <si>
    <t>83417</t>
  </si>
  <si>
    <t>83359</t>
  </si>
  <si>
    <t>83630</t>
  </si>
  <si>
    <t>DANIEL DE SOUZA AGUIAR</t>
  </si>
  <si>
    <t>83497</t>
  </si>
  <si>
    <t>83616</t>
  </si>
  <si>
    <t>GILBERTO PAULO DA CRUZ</t>
  </si>
  <si>
    <t>83671</t>
  </si>
  <si>
    <t>GUILHERME JUNIO FERREIRA SALES</t>
  </si>
  <si>
    <t>83580</t>
  </si>
  <si>
    <t>IVAN IZIDORIO CANDIDO</t>
  </si>
  <si>
    <t>83629</t>
  </si>
  <si>
    <t>KENNEDY PHILIPPE DIAS PONTES</t>
  </si>
  <si>
    <t>83421</t>
  </si>
  <si>
    <t>83539</t>
  </si>
  <si>
    <t>83382</t>
  </si>
  <si>
    <t>83436</t>
  </si>
  <si>
    <t>83460</t>
  </si>
  <si>
    <t>MARCELO MARIANO DA SILVA</t>
  </si>
  <si>
    <t>01.01.094.01.3.303.001</t>
  </si>
  <si>
    <t>PGJ/MG - MOTORISTAS - CARATINGA</t>
  </si>
  <si>
    <t>83626</t>
  </si>
  <si>
    <t>MARILEIA RAIMUNDA ALVES REIS</t>
  </si>
  <si>
    <t>83353</t>
  </si>
  <si>
    <t>83515</t>
  </si>
  <si>
    <t>PATRICIA ANDRADE</t>
  </si>
  <si>
    <t>83537</t>
  </si>
  <si>
    <t>RICARDO DA SILVA SANTOS</t>
  </si>
  <si>
    <t>83523</t>
  </si>
  <si>
    <t>RICARDO HENRIQUE SOARES DA SILVA</t>
  </si>
  <si>
    <t>83275</t>
  </si>
  <si>
    <t>83476</t>
  </si>
  <si>
    <t>83330</t>
  </si>
  <si>
    <t>Código do status</t>
  </si>
  <si>
    <t>00094.010100464.0012189.00</t>
  </si>
  <si>
    <t>111197</t>
  </si>
  <si>
    <t>REF.</t>
  </si>
  <si>
    <t>Data inicial do gozo das férias</t>
  </si>
  <si>
    <t>Data final do gozo das férias</t>
  </si>
  <si>
    <t>QTD.AT.DIAS</t>
  </si>
  <si>
    <t>QTD.FALTAS DIAS</t>
  </si>
  <si>
    <t>QTD.AT.HORAS</t>
  </si>
  <si>
    <t>QTD.FALTAS HORAS</t>
  </si>
  <si>
    <t>VERBA_66</t>
  </si>
  <si>
    <t>VERBA_548</t>
  </si>
  <si>
    <t>84011</t>
  </si>
  <si>
    <t>ALESSANDRA RANGEL TEIXEIRA</t>
  </si>
  <si>
    <t>83787</t>
  </si>
  <si>
    <t>ALESSANDRO RODRIGUES LOURENCO</t>
  </si>
  <si>
    <t>00094.010100422.0009461.00</t>
  </si>
  <si>
    <t>83704</t>
  </si>
  <si>
    <t>BEATRIZ BALDAN PEREIRA</t>
  </si>
  <si>
    <t>83792</t>
  </si>
  <si>
    <t>BETANIA MENDES FRANCISCO</t>
  </si>
  <si>
    <t>83676</t>
  </si>
  <si>
    <t>BRUNA TORQUATO DOS SANTOS</t>
  </si>
  <si>
    <t>83963</t>
  </si>
  <si>
    <t>DAIVISON ARRUDA DE SOUZA</t>
  </si>
  <si>
    <t>83648</t>
  </si>
  <si>
    <t>ELIANA DE SOUSA AGUIAR</t>
  </si>
  <si>
    <t>83651</t>
  </si>
  <si>
    <t>JAKELINE RODRIGUES VITORINO</t>
  </si>
  <si>
    <t>83719</t>
  </si>
  <si>
    <t>LEIDE ANE DA SILVA</t>
  </si>
  <si>
    <t>84002</t>
  </si>
  <si>
    <t>LEILA RIBEIRO DOS SANTOS</t>
  </si>
  <si>
    <t>83791</t>
  </si>
  <si>
    <t>LUCIANA SILVA RUAS</t>
  </si>
  <si>
    <t>83782</t>
  </si>
  <si>
    <t>MARCIO ROSA TORRES MACHADO</t>
  </si>
  <si>
    <t>83694</t>
  </si>
  <si>
    <t>MARIA APARECIDA LOPES DA SILVA</t>
  </si>
  <si>
    <t>83807</t>
  </si>
  <si>
    <t>NEYDE KARLA DOS SANTOS COSTA</t>
  </si>
  <si>
    <t>84001</t>
  </si>
  <si>
    <t>PATRICIA PEREIRA DOS SANTOS</t>
  </si>
  <si>
    <t>83708</t>
  </si>
  <si>
    <t>REGIANE MOREIRA ALBUQUERQUE</t>
  </si>
  <si>
    <t>83652</t>
  </si>
  <si>
    <t>ROSANA MARIA SILVA CARDOSO MARTINS</t>
  </si>
  <si>
    <t>83758</t>
  </si>
  <si>
    <t>83892</t>
  </si>
  <si>
    <t>SABRINA KELLY DA SILVA</t>
  </si>
  <si>
    <t>83830</t>
  </si>
  <si>
    <t>SILAS GRACIANO DA SILVA JUNIOR</t>
  </si>
  <si>
    <t>84032</t>
  </si>
  <si>
    <t>SIMONE DA TRINDADE</t>
  </si>
  <si>
    <t>84033</t>
  </si>
  <si>
    <t>84019</t>
  </si>
  <si>
    <t>THIAGO HENRIQUE OLIVEIRA SILVA</t>
  </si>
  <si>
    <t>Atestado_Médico</t>
  </si>
  <si>
    <t>Atestado_Médico_Mês_Anterior</t>
  </si>
  <si>
    <t>Faltas_Mês_Anterior</t>
  </si>
  <si>
    <t>Licença_Paternidade</t>
  </si>
  <si>
    <t>Atestado_Acidente_Trabalho</t>
  </si>
  <si>
    <t>Dias_Abonados</t>
  </si>
  <si>
    <t>Faltas_Justificadas</t>
  </si>
  <si>
    <t>Faltas_Abonadas_Mês_Anterior</t>
  </si>
  <si>
    <t>Faltas</t>
  </si>
  <si>
    <t>84102</t>
  </si>
  <si>
    <t>AGUSTINHO FERREIRA RIBEIRO JUNIOR</t>
  </si>
  <si>
    <t>84147</t>
  </si>
  <si>
    <t>84221</t>
  </si>
  <si>
    <t>ALEX AMANCIO VIDAL</t>
  </si>
  <si>
    <t>84170</t>
  </si>
  <si>
    <t>ANGELA MARIA VITOR DE JESUS</t>
  </si>
  <si>
    <t>84185</t>
  </si>
  <si>
    <t>ANGELA SILVA SANTOS</t>
  </si>
  <si>
    <t>83986</t>
  </si>
  <si>
    <t>ANTONIO FRANCISCO RODRIGUES</t>
  </si>
  <si>
    <t>84168</t>
  </si>
  <si>
    <t>ARLINDO VIRGULINO DE SOUZA JUNIOR</t>
  </si>
  <si>
    <t>84103</t>
  </si>
  <si>
    <t>BENILDE BATISTA BUENO</t>
  </si>
  <si>
    <t>84156</t>
  </si>
  <si>
    <t>CREUZA APARECIDA DOS SANTOS SILVA</t>
  </si>
  <si>
    <t>84251</t>
  </si>
  <si>
    <t>EDUARDA MIRANDA FIGUEIREDO</t>
  </si>
  <si>
    <t>84052</t>
  </si>
  <si>
    <t>83321</t>
  </si>
  <si>
    <t>EZEQUIEL GOMES CASSIANO</t>
  </si>
  <si>
    <t>84141</t>
  </si>
  <si>
    <t>GEONICE SILVA DE LIMA</t>
  </si>
  <si>
    <t>84128</t>
  </si>
  <si>
    <t>GEOVANE TULIO ALVES GARCIA</t>
  </si>
  <si>
    <t>83987</t>
  </si>
  <si>
    <t>GERALDA APARECIDA MIGUEL</t>
  </si>
  <si>
    <t>84153</t>
  </si>
  <si>
    <t>IZADORA KAROLINE DIAS PIRES</t>
  </si>
  <si>
    <t>83893</t>
  </si>
  <si>
    <t>JHONY MARTINS DOS SANTOS</t>
  </si>
  <si>
    <t>84149</t>
  </si>
  <si>
    <t>JOAO BIBIANO DA SILVA</t>
  </si>
  <si>
    <t>84126</t>
  </si>
  <si>
    <t>JULIA GARCIA BAPTISTUTA</t>
  </si>
  <si>
    <t>84043</t>
  </si>
  <si>
    <t>LUCIA DE FATIMA DIAS</t>
  </si>
  <si>
    <t>84154</t>
  </si>
  <si>
    <t>MARIA DA CONCEICAO DE SOUZA GUIZALBERT</t>
  </si>
  <si>
    <t>84321</t>
  </si>
  <si>
    <t>MARIA ELIZABETE ALVES MIRANDA</t>
  </si>
  <si>
    <t>84142</t>
  </si>
  <si>
    <t>84086</t>
  </si>
  <si>
    <t>AUXILIAR DE SERVICOS GERAIS - A</t>
  </si>
  <si>
    <t>82298</t>
  </si>
  <si>
    <t>RODINELISON APARECIDO LIMA</t>
  </si>
  <si>
    <t>SUELI CRISTINA DE PAULA</t>
  </si>
  <si>
    <t>84315</t>
  </si>
  <si>
    <t>UELTON DAVID DO NASCIMENTO</t>
  </si>
  <si>
    <t>83999</t>
  </si>
  <si>
    <t>ZILMA MARIA DE MORAIS</t>
  </si>
  <si>
    <t>nvd_linha_1</t>
  </si>
  <si>
    <t>nvd_linha_2</t>
  </si>
  <si>
    <t>nvd_linha_3</t>
  </si>
  <si>
    <t>nvd_linha_4</t>
  </si>
  <si>
    <t>nvd_linha_5</t>
  </si>
  <si>
    <t>Referencia</t>
  </si>
  <si>
    <t>Nome</t>
  </si>
  <si>
    <t>Jornada</t>
  </si>
  <si>
    <t>Salario</t>
  </si>
  <si>
    <t>Setor_Atual</t>
  </si>
  <si>
    <t>NOME_SETOR_ATUAL</t>
  </si>
  <si>
    <t>CIDADE_SETOR_ATUAL</t>
  </si>
  <si>
    <t>Setor_Histórico</t>
  </si>
  <si>
    <t>Data_Inicio_Setor_Histórico</t>
  </si>
  <si>
    <t>Data_Fim_Setor_Histórico</t>
  </si>
  <si>
    <t>Situação</t>
  </si>
  <si>
    <t>Data_Admissão</t>
  </si>
  <si>
    <t>Data_Demissão</t>
  </si>
  <si>
    <t>Inicio_Gozo_Férias</t>
  </si>
  <si>
    <t>Fim_Gozo_Férias</t>
  </si>
  <si>
    <t>Inicio_Gozo_Ferias_Hist</t>
  </si>
  <si>
    <t>Fim_Gozo_Ferias_Hist</t>
  </si>
  <si>
    <t>Inicio_Afastamento</t>
  </si>
  <si>
    <t>Fim_Afastamento</t>
  </si>
  <si>
    <t>Inicio_Período_VT</t>
  </si>
  <si>
    <t>Fim_Período_VT</t>
  </si>
  <si>
    <t>ID_CVT</t>
  </si>
  <si>
    <t>Dias_Uteis_BHBus</t>
  </si>
  <si>
    <t>Tarifa_BHBus</t>
  </si>
  <si>
    <t>Quantidade_BHBus</t>
  </si>
  <si>
    <t>Total_Compra_BHBus</t>
  </si>
  <si>
    <t>Dias_Deduzir_Transfácil</t>
  </si>
  <si>
    <t>Dias_Uteis_Otimo</t>
  </si>
  <si>
    <t>Tarifa_Otimo</t>
  </si>
  <si>
    <t>Quantidade_Otimo</t>
  </si>
  <si>
    <t>Total_Compra_Otimo</t>
  </si>
  <si>
    <t>Dias_Deduzir_Otimo</t>
  </si>
  <si>
    <t>Dias_Uteis_Demais_Oper</t>
  </si>
  <si>
    <t>Tarifa_Demais_Oper</t>
  </si>
  <si>
    <t>Quantidade_Demais_Oper</t>
  </si>
  <si>
    <t>Total_Compra_Demais_Oper</t>
  </si>
  <si>
    <t>Total_Compra_Geral</t>
  </si>
  <si>
    <t>6%_Salário</t>
  </si>
  <si>
    <t>Valor_liquido</t>
  </si>
  <si>
    <t>31/12/2999</t>
  </si>
  <si>
    <t>07/10/2013</t>
  </si>
  <si>
    <t>01/02/2013</t>
  </si>
  <si>
    <t>09/05/2005</t>
  </si>
  <si>
    <t>08/08/2013</t>
  </si>
  <si>
    <t>04/10/2013</t>
  </si>
  <si>
    <t>19/06/2013</t>
  </si>
  <si>
    <t>04/02/2009</t>
  </si>
  <si>
    <t>05/11/2011</t>
  </si>
  <si>
    <t>01/01/2012</t>
  </si>
  <si>
    <t>01/06/2012</t>
  </si>
  <si>
    <t>07/11/2011</t>
  </si>
  <si>
    <t>09/01/2012</t>
  </si>
  <si>
    <t>22/05/2012</t>
  </si>
  <si>
    <t>09/05/2013</t>
  </si>
  <si>
    <t>26/01/2013</t>
  </si>
  <si>
    <t>11/03/2013</t>
  </si>
  <si>
    <t>02/05/2013</t>
  </si>
  <si>
    <t>08/05/2013</t>
  </si>
  <si>
    <t>17/07/2013</t>
  </si>
  <si>
    <t>ANDERSON GUEDES NASCIMENTO</t>
  </si>
  <si>
    <t>FABIANA DIAS ANTERO</t>
  </si>
  <si>
    <t>LUIZ CARLOS ALVES DOS SANTOS</t>
  </si>
  <si>
    <t>MARIA DOS SANTOS TAVARES FILHA</t>
  </si>
  <si>
    <t>84389</t>
  </si>
  <si>
    <t>MATHEUS DE OLIVEIRA SILVA</t>
  </si>
  <si>
    <t>84414</t>
  </si>
  <si>
    <t>ROSENILDA COSTA DA SILVA</t>
  </si>
  <si>
    <t>THIAGO DE SOUZA SILVA SOBRINHO</t>
  </si>
  <si>
    <t>VLADIMER PEDRO NICOLSKY</t>
  </si>
  <si>
    <t>14/08/2013</t>
  </si>
  <si>
    <t>02/02/1995</t>
  </si>
  <si>
    <t>01/10/2013</t>
  </si>
  <si>
    <t>06/06/2011</t>
  </si>
  <si>
    <t>22/09/1989</t>
  </si>
  <si>
    <t>01/12/2010</t>
  </si>
  <si>
    <t>02/12/1996</t>
  </si>
  <si>
    <t>04/02/1997</t>
  </si>
  <si>
    <t>11/04/1997</t>
  </si>
  <si>
    <t>06/12/1999</t>
  </si>
  <si>
    <t>01/04/2000</t>
  </si>
  <si>
    <t>13/10/2000</t>
  </si>
  <si>
    <t>01/12/2011</t>
  </si>
  <si>
    <t>01/12/2000</t>
  </si>
  <si>
    <t>01/06/2011</t>
  </si>
  <si>
    <t>03/01/2001</t>
  </si>
  <si>
    <t>23/01/2001</t>
  </si>
  <si>
    <t>16/09/2013</t>
  </si>
  <si>
    <t>02/07/2012</t>
  </si>
  <si>
    <t>17/10/2011</t>
  </si>
  <si>
    <t>07/05/2001</t>
  </si>
  <si>
    <t>21/06/2001</t>
  </si>
  <si>
    <t>02/07/2001</t>
  </si>
  <si>
    <t>12/07/2001</t>
  </si>
  <si>
    <t>28/11/2001</t>
  </si>
  <si>
    <t>02/01/2002</t>
  </si>
  <si>
    <t>13/09/2000</t>
  </si>
  <si>
    <t>08/02/2002</t>
  </si>
  <si>
    <t>19/10/1999</t>
  </si>
  <si>
    <t>01/04/2002</t>
  </si>
  <si>
    <t>01/08/2002</t>
  </si>
  <si>
    <t>05/08/2011</t>
  </si>
  <si>
    <t>09/08/2002</t>
  </si>
  <si>
    <t>26/08/2002</t>
  </si>
  <si>
    <t>20/09/2002</t>
  </si>
  <si>
    <t>01/09/2011</t>
  </si>
  <si>
    <t>31/10/2002</t>
  </si>
  <si>
    <t>02/01/2003</t>
  </si>
  <si>
    <t>03/02/2003</t>
  </si>
  <si>
    <t>04/02/2003</t>
  </si>
  <si>
    <t>13/02/2003</t>
  </si>
  <si>
    <t>17/03/2003</t>
  </si>
  <si>
    <t>22/03/2003</t>
  </si>
  <si>
    <t>24/03/2003</t>
  </si>
  <si>
    <t>23/04/2003</t>
  </si>
  <si>
    <t>12/05/2003</t>
  </si>
  <si>
    <t>10/06/2003</t>
  </si>
  <si>
    <t>07/07/2003</t>
  </si>
  <si>
    <t>19/07/2003</t>
  </si>
  <si>
    <t>04/09/2003</t>
  </si>
  <si>
    <t>09/10/2003</t>
  </si>
  <si>
    <t>27/11/2003</t>
  </si>
  <si>
    <t>09/12/2003</t>
  </si>
  <si>
    <t>05/02/2004</t>
  </si>
  <si>
    <t>02/02/2004</t>
  </si>
  <si>
    <t>08/03/2004</t>
  </si>
  <si>
    <t>15/03/2004</t>
  </si>
  <si>
    <t>05/03/2012</t>
  </si>
  <si>
    <t>16/03/2004</t>
  </si>
  <si>
    <t>18/03/2004</t>
  </si>
  <si>
    <t>23/03/2004</t>
  </si>
  <si>
    <t>01/04/2004</t>
  </si>
  <si>
    <t>15/04/2004</t>
  </si>
  <si>
    <t>01/04/2012</t>
  </si>
  <si>
    <t>05/07/2004</t>
  </si>
  <si>
    <t>08/07/2004</t>
  </si>
  <si>
    <t>12/07/2004</t>
  </si>
  <si>
    <t>27/09/2004</t>
  </si>
  <si>
    <t>13/10/2004</t>
  </si>
  <si>
    <t>31/01/2005</t>
  </si>
  <si>
    <t>08/03/2005</t>
  </si>
  <si>
    <t>26/04/2005</t>
  </si>
  <si>
    <t>23/05/2005</t>
  </si>
  <si>
    <t>02/06/2005</t>
  </si>
  <si>
    <t>20/06/2005</t>
  </si>
  <si>
    <t>09/07/2005</t>
  </si>
  <si>
    <t>02/08/2005</t>
  </si>
  <si>
    <t>05/09/2005</t>
  </si>
  <si>
    <t>07/11/2005</t>
  </si>
  <si>
    <t>24/11/2005</t>
  </si>
  <si>
    <t>01/12/2005</t>
  </si>
  <si>
    <t>05/12/2005</t>
  </si>
  <si>
    <t>11/01/2006</t>
  </si>
  <si>
    <t>13/02/2006</t>
  </si>
  <si>
    <t>03/02/2006</t>
  </si>
  <si>
    <t>01/02/2006</t>
  </si>
  <si>
    <t>01/03/2006</t>
  </si>
  <si>
    <t>01/02/2011</t>
  </si>
  <si>
    <t>23/03/2006</t>
  </si>
  <si>
    <t>03/03/2006</t>
  </si>
  <si>
    <t>01/03/2011</t>
  </si>
  <si>
    <t>11/04/2006</t>
  </si>
  <si>
    <t>29/05/2006</t>
  </si>
  <si>
    <t>25/05/2006</t>
  </si>
  <si>
    <t>01/06/2006</t>
  </si>
  <si>
    <t>05/06/2006</t>
  </si>
  <si>
    <t>03/07/2006</t>
  </si>
  <si>
    <t>04/07/2006</t>
  </si>
  <si>
    <t>13/07/2006</t>
  </si>
  <si>
    <t>18/08/2006</t>
  </si>
  <si>
    <t>01/09/2006</t>
  </si>
  <si>
    <t>27/02/2007</t>
  </si>
  <si>
    <t>01/03/2007</t>
  </si>
  <si>
    <t>02/03/2007</t>
  </si>
  <si>
    <t>17/04/2007</t>
  </si>
  <si>
    <t>03/04/2007</t>
  </si>
  <si>
    <t>02/05/2007</t>
  </si>
  <si>
    <t>10/05/2007</t>
  </si>
  <si>
    <t>17/05/2007</t>
  </si>
  <si>
    <t>21/05/2007</t>
  </si>
  <si>
    <t>02/06/2007</t>
  </si>
  <si>
    <t>03/07/2007</t>
  </si>
  <si>
    <t>10/07/2007</t>
  </si>
  <si>
    <t>19/07/2007</t>
  </si>
  <si>
    <t>14/08/2007</t>
  </si>
  <si>
    <t>21/08/2007</t>
  </si>
  <si>
    <t>27/08/2007</t>
  </si>
  <si>
    <t>17/09/2007</t>
  </si>
  <si>
    <t>14/11/2007</t>
  </si>
  <si>
    <t>12/12/2007</t>
  </si>
  <si>
    <t>10/01/2008</t>
  </si>
  <si>
    <t>15/01/2008</t>
  </si>
  <si>
    <t>20/09/2012</t>
  </si>
  <si>
    <t>21/01/2008</t>
  </si>
  <si>
    <t>23/01/2008</t>
  </si>
  <si>
    <t>25/01/2008</t>
  </si>
  <si>
    <t>29/01/2008</t>
  </si>
  <si>
    <t>06/02/2008</t>
  </si>
  <si>
    <t>25/09/2013</t>
  </si>
  <si>
    <t>08/02/2008</t>
  </si>
  <si>
    <t>12/02/2008</t>
  </si>
  <si>
    <t>14/02/2008</t>
  </si>
  <si>
    <t>12/03/2008</t>
  </si>
  <si>
    <t>18/03/2008</t>
  </si>
  <si>
    <t>08/04/2008</t>
  </si>
  <si>
    <t>MACHADO</t>
  </si>
  <si>
    <t>01/04/2008</t>
  </si>
  <si>
    <t>28/04/2008</t>
  </si>
  <si>
    <t>30/06/2008</t>
  </si>
  <si>
    <t>02/07/2008</t>
  </si>
  <si>
    <t>28/07/2008</t>
  </si>
  <si>
    <t>11/08/2008</t>
  </si>
  <si>
    <t>01/11/2011</t>
  </si>
  <si>
    <t>18/08/2008</t>
  </si>
  <si>
    <t>01/09/2008</t>
  </si>
  <si>
    <t>15/10/2008</t>
  </si>
  <si>
    <t>09/12/2008</t>
  </si>
  <si>
    <t>10/12/2008</t>
  </si>
  <si>
    <t>11/12/2008</t>
  </si>
  <si>
    <t>03/12/2008</t>
  </si>
  <si>
    <t>01/12/2008</t>
  </si>
  <si>
    <t>07/01/2009</t>
  </si>
  <si>
    <t>02/01/2009</t>
  </si>
  <si>
    <t>22/01/2009</t>
  </si>
  <si>
    <t>12/02/2009</t>
  </si>
  <si>
    <t>09/03/2009</t>
  </si>
  <si>
    <t>11/03/2009</t>
  </si>
  <si>
    <t>04/04/2009</t>
  </si>
  <si>
    <t>22/04/2009</t>
  </si>
  <si>
    <t>05/05/2009</t>
  </si>
  <si>
    <t>04/05/2009</t>
  </si>
  <si>
    <t>07/05/2009</t>
  </si>
  <si>
    <t>18/05/2009</t>
  </si>
  <si>
    <t>06/05/2009</t>
  </si>
  <si>
    <t>06/06/2009</t>
  </si>
  <si>
    <t>17/06/2009</t>
  </si>
  <si>
    <t>29/06/2009</t>
  </si>
  <si>
    <t>01/07/2009</t>
  </si>
  <si>
    <t>09/07/2009</t>
  </si>
  <si>
    <t>27/08/2009</t>
  </si>
  <si>
    <t>08/10/2009</t>
  </si>
  <si>
    <t>23/11/2009</t>
  </si>
  <si>
    <t>04/05/2012</t>
  </si>
  <si>
    <t>15/12/2009</t>
  </si>
  <si>
    <t>13/01/2010</t>
  </si>
  <si>
    <t>04/01/2010</t>
  </si>
  <si>
    <t>11/02/2010</t>
  </si>
  <si>
    <t>02/03/2010</t>
  </si>
  <si>
    <t>03/03/2010</t>
  </si>
  <si>
    <t>17/01/2013</t>
  </si>
  <si>
    <t>17/03/2010</t>
  </si>
  <si>
    <t>25/03/2010</t>
  </si>
  <si>
    <t>31/03/2010</t>
  </si>
  <si>
    <t>05/04/2010</t>
  </si>
  <si>
    <t>14/04/2010</t>
  </si>
  <si>
    <t>19/04/2010</t>
  </si>
  <si>
    <t>25/04/2010</t>
  </si>
  <si>
    <t>28/04/2010</t>
  </si>
  <si>
    <t>01/05/2010</t>
  </si>
  <si>
    <t>03/05/2010</t>
  </si>
  <si>
    <t>04/05/2010</t>
  </si>
  <si>
    <t>10/05/2010</t>
  </si>
  <si>
    <t>17/05/2010</t>
  </si>
  <si>
    <t>09/06/2010</t>
  </si>
  <si>
    <t>30/06/2010</t>
  </si>
  <si>
    <t>06/07/2010</t>
  </si>
  <si>
    <t>01/07/2010</t>
  </si>
  <si>
    <t>07/07/2010</t>
  </si>
  <si>
    <t>12/07/2010</t>
  </si>
  <si>
    <t>19/07/2010</t>
  </si>
  <si>
    <t>02/07/2010</t>
  </si>
  <si>
    <t>05/07/2010</t>
  </si>
  <si>
    <t>01/10/2012</t>
  </si>
  <si>
    <t>27/07/2010</t>
  </si>
  <si>
    <t>28/07/2010</t>
  </si>
  <si>
    <t>09/08/2010</t>
  </si>
  <si>
    <t>09/09/2013</t>
  </si>
  <si>
    <t>16/08/2010</t>
  </si>
  <si>
    <t>17/08/2010</t>
  </si>
  <si>
    <t>23/08/2010</t>
  </si>
  <si>
    <t>25/08/2010</t>
  </si>
  <si>
    <t>30/08/2010</t>
  </si>
  <si>
    <t>26/08/2010</t>
  </si>
  <si>
    <t>10/09/2010</t>
  </si>
  <si>
    <t>16/09/2010</t>
  </si>
  <si>
    <t>21/09/2010</t>
  </si>
  <si>
    <t>01/10/2010</t>
  </si>
  <si>
    <t>06/10/2010</t>
  </si>
  <si>
    <t>26/10/2010</t>
  </si>
  <si>
    <t>19/11/2010</t>
  </si>
  <si>
    <t>24/11/2010</t>
  </si>
  <si>
    <t>23/11/2010</t>
  </si>
  <si>
    <t>03/12/2010</t>
  </si>
  <si>
    <t>07/12/2010</t>
  </si>
  <si>
    <t>09/12/2010</t>
  </si>
  <si>
    <t>10/12/2010</t>
  </si>
  <si>
    <t>06/12/2010</t>
  </si>
  <si>
    <t>27/12/2010</t>
  </si>
  <si>
    <t>05/01/2011</t>
  </si>
  <si>
    <t>11/01/2011</t>
  </si>
  <si>
    <t>13/01/2011</t>
  </si>
  <si>
    <t>17/01/2011</t>
  </si>
  <si>
    <t>CLAUDIO</t>
  </si>
  <si>
    <t>12/01/2011</t>
  </si>
  <si>
    <t>26/01/2011</t>
  </si>
  <si>
    <t>28/01/2011</t>
  </si>
  <si>
    <t>02/02/2011</t>
  </si>
  <si>
    <t>23/09/2013</t>
  </si>
  <si>
    <t>01/08/2012</t>
  </si>
  <si>
    <t>09/02/2011</t>
  </si>
  <si>
    <t>15/02/2011</t>
  </si>
  <si>
    <t>07/02/2011</t>
  </si>
  <si>
    <t>25/02/2011</t>
  </si>
  <si>
    <t>08/03/2013</t>
  </si>
  <si>
    <t>03/03/2011</t>
  </si>
  <si>
    <t>16/03/2011</t>
  </si>
  <si>
    <t>17/03/2011</t>
  </si>
  <si>
    <t>28/03/2011</t>
  </si>
  <si>
    <t>29/03/2011</t>
  </si>
  <si>
    <t>08/04/2011</t>
  </si>
  <si>
    <t>11/04/2011</t>
  </si>
  <si>
    <t>14/04/2011</t>
  </si>
  <si>
    <t>26/04/2011</t>
  </si>
  <si>
    <t>27/04/2011</t>
  </si>
  <si>
    <t>29/04/2011</t>
  </si>
  <si>
    <t>02/05/2011</t>
  </si>
  <si>
    <t>21/08/2013</t>
  </si>
  <si>
    <t>05/05/2011</t>
  </si>
  <si>
    <t>13/09/2013</t>
  </si>
  <si>
    <t>01/07/2011</t>
  </si>
  <si>
    <t>10/05/2011</t>
  </si>
  <si>
    <t>04/05/2011</t>
  </si>
  <si>
    <t>13/05/2011</t>
  </si>
  <si>
    <t>19/05/2011</t>
  </si>
  <si>
    <t>23/05/2011</t>
  </si>
  <si>
    <t>07/06/2011</t>
  </si>
  <si>
    <t>15/06/2011</t>
  </si>
  <si>
    <t>16/06/2011</t>
  </si>
  <si>
    <t>20/06/2011</t>
  </si>
  <si>
    <t>27/06/2011</t>
  </si>
  <si>
    <t>30/06/2011</t>
  </si>
  <si>
    <t>06/07/2011</t>
  </si>
  <si>
    <t>08/07/2011</t>
  </si>
  <si>
    <t>13/07/2011</t>
  </si>
  <si>
    <t>05/07/2011</t>
  </si>
  <si>
    <t>12/07/2011</t>
  </si>
  <si>
    <t>21/07/2011</t>
  </si>
  <si>
    <t>25/07/2011</t>
  </si>
  <si>
    <t>19/07/2011</t>
  </si>
  <si>
    <t>20/07/2011</t>
  </si>
  <si>
    <t>28/07/2011</t>
  </si>
  <si>
    <t>15/07/2013</t>
  </si>
  <si>
    <t>29/07/2011</t>
  </si>
  <si>
    <t>01/08/2011</t>
  </si>
  <si>
    <t>03/08/2011</t>
  </si>
  <si>
    <t>19/08/2011</t>
  </si>
  <si>
    <t>22/08/2011</t>
  </si>
  <si>
    <t>23/08/2011</t>
  </si>
  <si>
    <t>29/08/2011</t>
  </si>
  <si>
    <t>05/09/2011</t>
  </si>
  <si>
    <t>11/09/2011</t>
  </si>
  <si>
    <t>14/09/2011</t>
  </si>
  <si>
    <t>15/09/2011</t>
  </si>
  <si>
    <t>22/09/2011</t>
  </si>
  <si>
    <t>19/09/2011</t>
  </si>
  <si>
    <t>27/09/2011</t>
  </si>
  <si>
    <t>28/09/2011</t>
  </si>
  <si>
    <t>29/09/2011</t>
  </si>
  <si>
    <t>03/10/2011</t>
  </si>
  <si>
    <t>09/10/2011</t>
  </si>
  <si>
    <t>28/10/2011</t>
  </si>
  <si>
    <t>22/11/2011</t>
  </si>
  <si>
    <t>23/11/2011</t>
  </si>
  <si>
    <t>06/12/2011</t>
  </si>
  <si>
    <t>05/12/2011</t>
  </si>
  <si>
    <t>13/12/2011</t>
  </si>
  <si>
    <t>23/12/2011</t>
  </si>
  <si>
    <t>04/01/2012</t>
  </si>
  <si>
    <t>24/01/2012</t>
  </si>
  <si>
    <t>16/01/2012</t>
  </si>
  <si>
    <t>18/01/2012</t>
  </si>
  <si>
    <t>30/01/2012</t>
  </si>
  <si>
    <t>10/02/2012</t>
  </si>
  <si>
    <t>16/02/2012</t>
  </si>
  <si>
    <t>17/02/2012</t>
  </si>
  <si>
    <t>24/02/2012</t>
  </si>
  <si>
    <t>03/03/2012</t>
  </si>
  <si>
    <t>07/03/2012</t>
  </si>
  <si>
    <t>14/03/2012</t>
  </si>
  <si>
    <t>19/03/2012</t>
  </si>
  <si>
    <t>20/03/2012</t>
  </si>
  <si>
    <t>22/03/2012</t>
  </si>
  <si>
    <t>21/03/2012</t>
  </si>
  <si>
    <t>01/03/2012</t>
  </si>
  <si>
    <t>23/03/2012</t>
  </si>
  <si>
    <t>02/04/2012</t>
  </si>
  <si>
    <t>09/04/2012</t>
  </si>
  <si>
    <t>26/04/2012</t>
  </si>
  <si>
    <t>27/04/2012</t>
  </si>
  <si>
    <t>02/05/2012</t>
  </si>
  <si>
    <t>01/07/2013</t>
  </si>
  <si>
    <t>07/05/2012</t>
  </si>
  <si>
    <t>11/05/2012</t>
  </si>
  <si>
    <t>15/05/2012</t>
  </si>
  <si>
    <t>18/05/2012</t>
  </si>
  <si>
    <t>16/05/2012</t>
  </si>
  <si>
    <t>06/06/2012</t>
  </si>
  <si>
    <t>11/06/2012</t>
  </si>
  <si>
    <t>12/06/2012</t>
  </si>
  <si>
    <t>14/06/2012</t>
  </si>
  <si>
    <t>25/06/2012</t>
  </si>
  <si>
    <t>28/06/2012</t>
  </si>
  <si>
    <t>04/07/2012</t>
  </si>
  <si>
    <t>05/07/2012</t>
  </si>
  <si>
    <t>09/07/2012</t>
  </si>
  <si>
    <t>10/07/2012</t>
  </si>
  <si>
    <t>11/07/2012</t>
  </si>
  <si>
    <t>16/07/2012</t>
  </si>
  <si>
    <t>17/07/2012</t>
  </si>
  <si>
    <t>24/07/2012</t>
  </si>
  <si>
    <t>01/04/2013</t>
  </si>
  <si>
    <t>26/07/2012</t>
  </si>
  <si>
    <t>02/08/2012</t>
  </si>
  <si>
    <t>03/08/2012</t>
  </si>
  <si>
    <t>18/09/2013</t>
  </si>
  <si>
    <t>22/08/2012</t>
  </si>
  <si>
    <t>01/11/2012</t>
  </si>
  <si>
    <t>05/09/2012</t>
  </si>
  <si>
    <t>17/09/2012</t>
  </si>
  <si>
    <t>10/09/2012</t>
  </si>
  <si>
    <t>19/09/2012</t>
  </si>
  <si>
    <t>24/09/2012</t>
  </si>
  <si>
    <t>02/10/2012</t>
  </si>
  <si>
    <t>03/10/2012</t>
  </si>
  <si>
    <t>05/10/2012</t>
  </si>
  <si>
    <t>11/10/2012</t>
  </si>
  <si>
    <t>17/10/2012</t>
  </si>
  <si>
    <t>24/10/2012</t>
  </si>
  <si>
    <t>25/10/2012</t>
  </si>
  <si>
    <t>22/10/2012</t>
  </si>
  <si>
    <t>21/06/2013</t>
  </si>
  <si>
    <t>06/11/2012</t>
  </si>
  <si>
    <t>14/11/2012</t>
  </si>
  <si>
    <t>15/11/2012</t>
  </si>
  <si>
    <t>09/11/2012</t>
  </si>
  <si>
    <t>05/11/2012</t>
  </si>
  <si>
    <t>03/12/2012</t>
  </si>
  <si>
    <t>19/12/2012</t>
  </si>
  <si>
    <t>23/12/2012</t>
  </si>
  <si>
    <t>26/12/2012</t>
  </si>
  <si>
    <t>10/01/2013</t>
  </si>
  <si>
    <t>14/01/2013</t>
  </si>
  <si>
    <t>15/01/2013</t>
  </si>
  <si>
    <t>16/01/2013</t>
  </si>
  <si>
    <t>21/01/2013</t>
  </si>
  <si>
    <t>24/01/2013</t>
  </si>
  <si>
    <t>25/01/2013</t>
  </si>
  <si>
    <t>02/01/2013</t>
  </si>
  <si>
    <t>28/01/2013</t>
  </si>
  <si>
    <t>05/02/2013</t>
  </si>
  <si>
    <t>07/02/2013</t>
  </si>
  <si>
    <t>14/02/2013</t>
  </si>
  <si>
    <t>25/02/2013</t>
  </si>
  <si>
    <t>04/02/2013</t>
  </si>
  <si>
    <t>06/03/2013</t>
  </si>
  <si>
    <t>04/03/2013</t>
  </si>
  <si>
    <t>15/03/2013</t>
  </si>
  <si>
    <t>18/03/2013</t>
  </si>
  <si>
    <t>19/03/2013</t>
  </si>
  <si>
    <t>20/03/2013</t>
  </si>
  <si>
    <t>02/04/2013</t>
  </si>
  <si>
    <t>04/04/2013</t>
  </si>
  <si>
    <t>08/04/2013</t>
  </si>
  <si>
    <t>10/04/2013</t>
  </si>
  <si>
    <t>15/04/2013</t>
  </si>
  <si>
    <t>18/04/2013</t>
  </si>
  <si>
    <t>24/04/2013</t>
  </si>
  <si>
    <t>11/04/2013</t>
  </si>
  <si>
    <t>25/04/2013</t>
  </si>
  <si>
    <t>22/04/2013</t>
  </si>
  <si>
    <t>07/05/2013</t>
  </si>
  <si>
    <t>13/05/2013</t>
  </si>
  <si>
    <t>14/05/2013</t>
  </si>
  <si>
    <t>15/05/2013</t>
  </si>
  <si>
    <t>21/05/2013</t>
  </si>
  <si>
    <t>03/06/2013</t>
  </si>
  <si>
    <t>04/06/2013</t>
  </si>
  <si>
    <t>13/06/2013</t>
  </si>
  <si>
    <t>18/06/2013</t>
  </si>
  <si>
    <t>14/06/2013</t>
  </si>
  <si>
    <t>27/06/2013</t>
  </si>
  <si>
    <t>01/08/2013</t>
  </si>
  <si>
    <t>08/07/2013</t>
  </si>
  <si>
    <t>04/07/2013</t>
  </si>
  <si>
    <t>02/09/2013</t>
  </si>
  <si>
    <t>09/07/2013</t>
  </si>
  <si>
    <t>10/07/2013</t>
  </si>
  <si>
    <t>16/07/2013</t>
  </si>
  <si>
    <t>18/07/2013</t>
  </si>
  <si>
    <t>25/07/2013</t>
  </si>
  <si>
    <t>23/07/2013</t>
  </si>
  <si>
    <t>03/09/2013</t>
  </si>
  <si>
    <t>26/07/2013</t>
  </si>
  <si>
    <t>02/08/2013</t>
  </si>
  <si>
    <t>05/08/2013</t>
  </si>
  <si>
    <t>06/08/2013</t>
  </si>
  <si>
    <t>09/08/2013</t>
  </si>
  <si>
    <t>07/08/2013</t>
  </si>
  <si>
    <t>19/08/2013</t>
  </si>
  <si>
    <t>15/08/2013</t>
  </si>
  <si>
    <t>26/08/2013</t>
  </si>
  <si>
    <t>12/09/2013</t>
  </si>
  <si>
    <t>04/09/2013</t>
  </si>
  <si>
    <t>06/09/2013</t>
  </si>
  <si>
    <t>17/09/2013</t>
  </si>
  <si>
    <t>REF</t>
  </si>
  <si>
    <t>NOME</t>
  </si>
  <si>
    <t>ADMISSÃO</t>
  </si>
  <si>
    <t>S</t>
  </si>
  <si>
    <t>COD SETOR</t>
  </si>
  <si>
    <t>NOME SETOR</t>
  </si>
  <si>
    <t>CIDADE</t>
  </si>
  <si>
    <t>12/04/2012</t>
  </si>
  <si>
    <t>26/11/2008</t>
  </si>
  <si>
    <t>07/07/2011</t>
  </si>
  <si>
    <t>08/06/2011</t>
  </si>
  <si>
    <t>07/08/2007</t>
  </si>
  <si>
    <t>17/11/2009</t>
  </si>
  <si>
    <t>03/11/2008</t>
  </si>
  <si>
    <t>25/08/2011</t>
  </si>
  <si>
    <t>16/08/2011</t>
  </si>
  <si>
    <t>CASSIA</t>
  </si>
  <si>
    <t>06/11/2008</t>
  </si>
  <si>
    <t>02/03/2006</t>
  </si>
  <si>
    <t>31/03/2011</t>
  </si>
  <si>
    <t>07/01/2008</t>
  </si>
  <si>
    <t>17/11/2011</t>
  </si>
  <si>
    <t>CARMOPOLIS DE MINAS</t>
  </si>
  <si>
    <t>04/08/2009</t>
  </si>
  <si>
    <t>SAO JOAO DA PONTE</t>
  </si>
  <si>
    <t>14/11/2008</t>
  </si>
  <si>
    <t>18/10/2012</t>
  </si>
  <si>
    <t>22/06/2012</t>
  </si>
  <si>
    <t>07/01/2013</t>
  </si>
  <si>
    <t>06/03/2006</t>
  </si>
  <si>
    <t>24/08/2011</t>
  </si>
  <si>
    <t>17/02/2004</t>
  </si>
  <si>
    <t>08/08/2007</t>
  </si>
  <si>
    <t>03/05/2013</t>
  </si>
  <si>
    <t>14/05/2012</t>
  </si>
  <si>
    <t>24/03/2009</t>
  </si>
  <si>
    <t>22/11/2012</t>
  </si>
  <si>
    <t>26/03/2013</t>
  </si>
  <si>
    <t>06/05/2011</t>
  </si>
  <si>
    <t>24/08/2007</t>
  </si>
  <si>
    <t>20/07/2012</t>
  </si>
  <si>
    <t>13/02/2012</t>
  </si>
  <si>
    <t>22/02/2013</t>
  </si>
  <si>
    <t>14/07/2011</t>
  </si>
  <si>
    <t>01/09/2010</t>
  </si>
  <si>
    <t>31/08/2011</t>
  </si>
  <si>
    <t>10/04/2012</t>
  </si>
  <si>
    <t>09/08/2006</t>
  </si>
  <si>
    <t>09/04/2007</t>
  </si>
  <si>
    <t>19/10/2012</t>
  </si>
  <si>
    <t>16/11/2011</t>
  </si>
  <si>
    <t>14/12/2012</t>
  </si>
  <si>
    <t>10/10/2007</t>
  </si>
  <si>
    <t>10/08/2009</t>
  </si>
  <si>
    <t>27/01/2012</t>
  </si>
  <si>
    <t>10/06/2006</t>
  </si>
  <si>
    <t>20/04/2012</t>
  </si>
  <si>
    <t>06/12/2012</t>
  </si>
  <si>
    <t>08/01/2010</t>
  </si>
  <si>
    <t>18/04/2012</t>
  </si>
  <si>
    <t>18/03/2011</t>
  </si>
  <si>
    <t>25/08/2007</t>
  </si>
  <si>
    <t>02/03/2009</t>
  </si>
  <si>
    <t>02/11/2012</t>
  </si>
  <si>
    <t>04/12/2009</t>
  </si>
  <si>
    <t>22/07/2013</t>
  </si>
  <si>
    <t>26/08/2011</t>
  </si>
  <si>
    <t>12/10/2012</t>
  </si>
  <si>
    <t>25/03/2013</t>
  </si>
  <si>
    <t>06/08/2008</t>
  </si>
  <si>
    <t>13/09/2010</t>
  </si>
  <si>
    <t>11/06/2007</t>
  </si>
  <si>
    <t>08/05/2003</t>
  </si>
  <si>
    <t>18/06/2009</t>
  </si>
  <si>
    <t>01/11/2007</t>
  </si>
  <si>
    <t>12/11/2012</t>
  </si>
  <si>
    <t>12/07/2013</t>
  </si>
  <si>
    <t>08/11/2011</t>
  </si>
  <si>
    <t>31/05/2010</t>
  </si>
  <si>
    <t>01/02/2012</t>
  </si>
  <si>
    <t>18/12/2012</t>
  </si>
  <si>
    <t>03/06/2009</t>
  </si>
  <si>
    <t>01/12/2009</t>
  </si>
  <si>
    <t>IGARAPE</t>
  </si>
  <si>
    <t>01/03/2004</t>
  </si>
  <si>
    <t>21/02/2013</t>
  </si>
  <si>
    <t>02/07/2011</t>
  </si>
  <si>
    <t>30/01/2013</t>
  </si>
  <si>
    <t>20/08/2011</t>
  </si>
  <si>
    <t>22/11/2010</t>
  </si>
  <si>
    <t>25/06/2008</t>
  </si>
  <si>
    <t>12/11/2008</t>
  </si>
  <si>
    <t>06/06/2013</t>
  </si>
  <si>
    <t>26/02/2008</t>
  </si>
  <si>
    <t>08/03/2012</t>
  </si>
  <si>
    <t>01/02/2007</t>
  </si>
  <si>
    <t>23/06/2012</t>
  </si>
  <si>
    <t>08/01/2009</t>
  </si>
  <si>
    <t>16/03/2009</t>
  </si>
  <si>
    <t>17/06/2011</t>
  </si>
  <si>
    <t>11/06/2013</t>
  </si>
  <si>
    <t>01.01.094.01.3.602.002</t>
  </si>
  <si>
    <t>00094.010100464.0012587.00</t>
  </si>
  <si>
    <t>120810</t>
  </si>
  <si>
    <t>PGJ/MG - MOTORISTAS - BARBACENA - MANSOE</t>
  </si>
  <si>
    <t>ANTONIO JOSE DIAS</t>
  </si>
  <si>
    <t>ADLAMAR CARMEN CHAGAS</t>
  </si>
  <si>
    <t>PABLO VELOSO CARDOSO</t>
  </si>
  <si>
    <t>JEFERSON CURCIO</t>
  </si>
  <si>
    <t>MARIA ISABEL MAIA PEREIRA</t>
  </si>
  <si>
    <t>DOUGLAS DA SILVA FRANKLIN</t>
  </si>
  <si>
    <t>ADILEUZA ANDRADE DE SOUZA</t>
  </si>
  <si>
    <t>ANGELO DE SOUZA BARBOSA</t>
  </si>
  <si>
    <t>CHRISTIANO OLIVEIRA DE SOUZA</t>
  </si>
  <si>
    <t>CLAUDIO JUNIO GONCALVES</t>
  </si>
  <si>
    <t>DARCY DONIZETTI JACON</t>
  </si>
  <si>
    <t>00094.010100464.0003729.00</t>
  </si>
  <si>
    <t>01.01.094.01.3.001.010</t>
  </si>
  <si>
    <t>MARIA HELOISA ROSA DE CARVALHO</t>
  </si>
  <si>
    <t>89980</t>
  </si>
  <si>
    <t>PGJ/MG - MOTORISTAS - BHZ RUA OURO PRETO</t>
  </si>
  <si>
    <t>85338</t>
  </si>
  <si>
    <t>EUVALDO ALVARES COSTA</t>
  </si>
  <si>
    <t>LAURA AMANCIO COSTA</t>
  </si>
  <si>
    <t>LIDIANE APARECIDA SANTARELLI</t>
  </si>
  <si>
    <t>LUSMAR RIBEIRO</t>
  </si>
  <si>
    <t>SIRLENE ALVES RODRIGUES MANHANI</t>
  </si>
  <si>
    <t>AELSON PACIFICO PEREIRA</t>
  </si>
  <si>
    <t>00094.010100464.0003729.61</t>
  </si>
  <si>
    <t>01.01.094.01.3.001.019</t>
  </si>
  <si>
    <t>CARLA SANTANA DE SOUSA MARCAL</t>
  </si>
  <si>
    <t>CLAUDIA DOS REIS ALMEIDA MAGALHAES</t>
  </si>
  <si>
    <t>CLEONICE MARIA FONTOURA</t>
  </si>
  <si>
    <t>GLAUCIA DE FATIMA SEVEREINO</t>
  </si>
  <si>
    <t>GUILHERME CORREA DO NASCIMENTO</t>
  </si>
  <si>
    <t>JOAO BATISTA BARBOSA NETO</t>
  </si>
  <si>
    <t>JOAO BEON DE CASTRO</t>
  </si>
  <si>
    <t>JORGE LUIZ DE OLIVEIRA</t>
  </si>
  <si>
    <t>LARISSA PAMELA FERREIRA ALEXANDRE</t>
  </si>
  <si>
    <t>LUCIANA DE FATIMA CARVALHO</t>
  </si>
  <si>
    <t>MARILENE LIMA SOUZA</t>
  </si>
  <si>
    <t>PAULO ROBERTO BARROSO</t>
  </si>
  <si>
    <t>86287</t>
  </si>
  <si>
    <t>SEBASTIANA RODRIGUES DA SILVA</t>
  </si>
  <si>
    <t>SIBELI GOMES FERREIRA</t>
  </si>
  <si>
    <t>VERA LUCIA FERREIRA DE ANDRADE</t>
  </si>
  <si>
    <t>WILLIAM DOUGLAS OLIVEIRA CAMINHAS</t>
  </si>
  <si>
    <t>01/03/2014</t>
  </si>
  <si>
    <t>128948</t>
  </si>
  <si>
    <t>PGJ/MG - FERISTA</t>
  </si>
  <si>
    <t>APARECIDA EVANILIA DE SOUZA MATIAS</t>
  </si>
  <si>
    <t>86944</t>
  </si>
  <si>
    <t>DOUGLAS DAS GRACAS FERREIRA</t>
  </si>
  <si>
    <t>ELIS REGINA COUTO OLIVEIRA</t>
  </si>
  <si>
    <t>JESSICA LARISSA PEREIRA DE OLIVEIRA</t>
  </si>
  <si>
    <t>MARCIA CRISTIANE DA SILVA MENDES</t>
  </si>
  <si>
    <t>MARLUCIA DIAS GOMES</t>
  </si>
  <si>
    <t>SANDRA REGINA DA SILVA</t>
  </si>
  <si>
    <t>00094.010100464.0012191.00</t>
  </si>
  <si>
    <t>01.01.094.01.3.122.001</t>
  </si>
  <si>
    <t>PGJ/MG - MOTORISTAS - SANTA LUZIA</t>
  </si>
  <si>
    <t>01/04/2014</t>
  </si>
  <si>
    <t>14/04/2014</t>
  </si>
  <si>
    <t>DER 3,50 (antigo 3,30)</t>
  </si>
  <si>
    <t>DER 3,25 (antigo 3,05)</t>
  </si>
  <si>
    <t>DER 4,35 (antigo 4,10)</t>
  </si>
  <si>
    <t>DER 4,50 (antigo 4,20)</t>
  </si>
  <si>
    <t>79897</t>
  </si>
  <si>
    <t>PGJ-MG - CONTAGEM</t>
  </si>
  <si>
    <t>DER 3,00 (antigo 2,80)</t>
  </si>
  <si>
    <t>DER 3,70 (antigo 3,45)</t>
  </si>
  <si>
    <t>SETE LAGOAS MUNICIPAL CARTÃO - 2,50 (ANTIGA 2,40)</t>
  </si>
  <si>
    <t>DER 6,45 (antigo 6,05)</t>
  </si>
  <si>
    <t>111212</t>
  </si>
  <si>
    <t>PGJ/MG MOTORISTA FERISTA</t>
  </si>
  <si>
    <t>MARCO AURELIO RODRIGUES LIMA</t>
  </si>
  <si>
    <t>PAULO OLIVEIRA DA SILVA</t>
  </si>
  <si>
    <t>PEDRO HENRIQUE DOS SANTOS MATILDES</t>
  </si>
  <si>
    <t>RENATA MARIA DOS SANTOS</t>
  </si>
  <si>
    <t>01/05/2012</t>
  </si>
  <si>
    <t>CARTÃO BHBUS - TARIFA A - 2,85 (ANTIGO 2,65)</t>
  </si>
  <si>
    <t>CARTÃO BHBUS - TARIFA Y - 1,43 (ANTIGO 1,33)</t>
  </si>
  <si>
    <t>CARTÃO BHBUS - TARIFA B - CIRCU 2,05 (ANTIGO 1,90)</t>
  </si>
  <si>
    <t>CARTÃO BHBUS - TARIFA T - 0,80 (ANTIGO 0,75)</t>
  </si>
  <si>
    <t>CARTÃO BHBUS - TARIFA Z - 1,95 (ANT 1,75)</t>
  </si>
  <si>
    <t>TADSON GUERRA CORREIA</t>
  </si>
  <si>
    <t>LUCAS ANTONIO ROSA BIANO</t>
  </si>
  <si>
    <t>LORRAYNE EDUARDA FERNANDES DE PAULA QUEIROZ</t>
  </si>
  <si>
    <t>88922</t>
  </si>
  <si>
    <t>CARLOS EDUARDO ALVES COSTA</t>
  </si>
  <si>
    <t>JUSSARA DE SOUZA SANTOS</t>
  </si>
  <si>
    <t>SIMONE PAIVA FERREIRA LIMA</t>
  </si>
  <si>
    <t>LORENA RIBEIRO DE CARVALHO SOUSA</t>
  </si>
  <si>
    <t>MARIA ALVES DA SILVA</t>
  </si>
  <si>
    <t>29/08/2014</t>
  </si>
  <si>
    <t>00094.010100464.0007679.00</t>
  </si>
  <si>
    <t>01.01.094.01.3.001.022</t>
  </si>
  <si>
    <t>PGJ/MG MOTORISTA - INJUCIA</t>
  </si>
  <si>
    <t>ANDREZZA QUEIROZ PIMENTA</t>
  </si>
  <si>
    <t>CARLOS ROBERTO SILVA DA PAZ</t>
  </si>
  <si>
    <t>IVANIR GOMES PEREIRA</t>
  </si>
  <si>
    <t>LUANA SILVA TERRA NASCIMENTO</t>
  </si>
  <si>
    <t>00094.010100464.0000414.00</t>
  </si>
  <si>
    <t>01.01.094.01.3.001.020</t>
  </si>
  <si>
    <t>PGJ/MG PATRIMONIO CULTURAL</t>
  </si>
  <si>
    <t>MARLI DE CASSIA SILVA</t>
  </si>
  <si>
    <t>MICHELINE IMACULADA DE CASTRO KER</t>
  </si>
  <si>
    <t>NILCE INACIO DA SILVA</t>
  </si>
  <si>
    <t>89382</t>
  </si>
  <si>
    <t>89409</t>
  </si>
  <si>
    <t>PAULO AUGUSTO DE SENA</t>
  </si>
  <si>
    <t>REGIANA FERREIRA DE OLIVEIRA</t>
  </si>
  <si>
    <t>ROBSON DAMASCENO SILVA</t>
  </si>
  <si>
    <t>89354</t>
  </si>
  <si>
    <t>RODRIGO LUIZ FERREIRA</t>
  </si>
  <si>
    <t>00094.010100464.0005376.00</t>
  </si>
  <si>
    <t>01.01.094.01.3.001.021</t>
  </si>
  <si>
    <t>PGJ/MG - BENS PATRIMONIAIS</t>
  </si>
  <si>
    <t>VANDO CARVALHO CORREA</t>
  </si>
  <si>
    <t>WILTON MENDES FRANCISCO</t>
  </si>
  <si>
    <t>D</t>
  </si>
  <si>
    <t>27/09/2014</t>
  </si>
  <si>
    <t>CARTÃO BHBUS - TARIFA F - 1,03 (ANTIGO 0,95)</t>
  </si>
  <si>
    <t>CARTÃO BHBUS - TARIFA G -ÔNIBUS 1,83 (ANTIGO 1,70)</t>
  </si>
  <si>
    <t>135841</t>
  </si>
  <si>
    <t>PGJ/MG - PATRIMÔNIO CULTURAL</t>
  </si>
  <si>
    <t>135887</t>
  </si>
  <si>
    <t>PGJ/MG - MOTORISTAS - INJUCIA</t>
  </si>
  <si>
    <t>135869</t>
  </si>
  <si>
    <t>PGJ/MG - MOTORISTA - BENS PATRIMONIAIS</t>
  </si>
  <si>
    <t>Total Geral</t>
  </si>
  <si>
    <t>DANIEL KENNEDY ROCHA DE CARVALHO</t>
  </si>
  <si>
    <t>ERIVELTO DUARTE MACIEL DE JESUS</t>
  </si>
  <si>
    <t>GUSTAVO HENRIQUE SILVEIRA</t>
  </si>
  <si>
    <t>ISABEL CRISTINA APARECIDA CARVALHO</t>
  </si>
  <si>
    <t>JACQUELINE CRISTINA COSTA CONCEICAO</t>
  </si>
  <si>
    <t>MADERCI MARIA DE OLIVEIRA SANTOS</t>
  </si>
  <si>
    <t>RONALDO EUSTAQUIO PINHEIRO JUNIOR</t>
  </si>
  <si>
    <t>01/08/2014</t>
  </si>
  <si>
    <t>31/08/2014</t>
  </si>
  <si>
    <t>20/07/2014</t>
  </si>
  <si>
    <t>03/07/2014</t>
  </si>
  <si>
    <t>cod_ben_2</t>
  </si>
  <si>
    <t>nom_ben_2</t>
  </si>
  <si>
    <t>vru_ben_2</t>
  </si>
  <si>
    <t>nvd_ben_2</t>
  </si>
  <si>
    <t>qtd_ben_2</t>
  </si>
  <si>
    <t>vlc_ben_2</t>
  </si>
  <si>
    <t>cod_ben_3</t>
  </si>
  <si>
    <t>nom_ben_3</t>
  </si>
  <si>
    <t>vru_ben_3</t>
  </si>
  <si>
    <t>nvd_ben_3</t>
  </si>
  <si>
    <t>qtd_ben_3</t>
  </si>
  <si>
    <t>vlc_ben_3</t>
  </si>
  <si>
    <t>TA</t>
  </si>
  <si>
    <t>Ticket Alimentação Cartão</t>
  </si>
  <si>
    <t>VT</t>
  </si>
  <si>
    <t>COMPETÊNCIA</t>
  </si>
  <si>
    <t>Total</t>
  </si>
  <si>
    <t>Diferença de ISSQN BH - 2% para 5%</t>
  </si>
  <si>
    <t>Nº DE POSTOS</t>
  </si>
  <si>
    <t>ADICIONAL DE PERICULOSIDADE</t>
  </si>
  <si>
    <t>ADICIONAL DE INSALUBRIDADE</t>
  </si>
  <si>
    <t>ADICIONAL NOTURNO</t>
  </si>
  <si>
    <t>HORA NOTURNA ADICIONAL</t>
  </si>
  <si>
    <t>ADICIONAL DE HORA EXTRA</t>
  </si>
  <si>
    <t>INTERVALO INTRAJORNADA</t>
  </si>
  <si>
    <t xml:space="preserve">FERIADO NACIONAL </t>
  </si>
  <si>
    <t>TOTAL DA REMUNERAÇÃO</t>
  </si>
  <si>
    <t>MÓDULO 1</t>
  </si>
  <si>
    <t>Auxílio Alimentação - Cesta Básica</t>
  </si>
  <si>
    <t>Auxílio Transporte -Vr. Total do VT deduzido da parcela descontada do empregado</t>
  </si>
  <si>
    <t>Auxílio Saúde</t>
  </si>
  <si>
    <t>Seguro de Vida</t>
  </si>
  <si>
    <t>PAF</t>
  </si>
  <si>
    <t>PAT</t>
  </si>
  <si>
    <t>PQM</t>
  </si>
  <si>
    <t>MÓDULO 2</t>
  </si>
  <si>
    <t>MÓDULO 3</t>
  </si>
  <si>
    <t>TOTAL MÓDULO 3 - REPASSE DIRETO</t>
  </si>
  <si>
    <t>MINISTÉRIO PÚBLICO DE MINAS GERAIS</t>
  </si>
  <si>
    <t xml:space="preserve">PROCURADORIA GERAL DE JUSTIÇA </t>
  </si>
  <si>
    <t>Empresa:</t>
  </si>
  <si>
    <t>CONSERVO</t>
  </si>
  <si>
    <t>Contrato nº:</t>
  </si>
  <si>
    <t>MÊS DE REFERÊNCIA</t>
  </si>
  <si>
    <t>DATA INCIAL</t>
  </si>
  <si>
    <t xml:space="preserve">DATA FINAL </t>
  </si>
  <si>
    <t>SUBMÓDULO 4.1</t>
  </si>
  <si>
    <t>SUBMÓDULO 4.3</t>
  </si>
  <si>
    <t>SUBMÓDULO 4.4</t>
  </si>
  <si>
    <t>UNIFORMES e EPIs</t>
  </si>
  <si>
    <t>MATERIAIS DE CONSUMO</t>
  </si>
  <si>
    <t>MÁQUINAS E EQUIPAMENTOS (DEPRECIAÇÃO)</t>
  </si>
  <si>
    <t>PRODUTOS DE LIMPEZA</t>
  </si>
  <si>
    <t>ENCARGOS PREVIDENCIÁRIOS E FGTS REPASSE DIRETO</t>
  </si>
  <si>
    <t>MÓDULO 4 - VERBAS DE REPASSE DIRETO</t>
  </si>
  <si>
    <t>AFASTAMENTO MATERNIDADE</t>
  </si>
  <si>
    <t>D - AVISO PRÉVIO TRABALHADO</t>
  </si>
  <si>
    <t>E -INCIDÊNCIA DO SUBMÓDULO 4.1 SOBRE APT</t>
  </si>
  <si>
    <t>SUBMÓDULO 4.5</t>
  </si>
  <si>
    <t>B - AUSÊNCIA POR DOENÇA</t>
  </si>
  <si>
    <t xml:space="preserve">C - LICENÇA PATERNIDADE E AUSÊNCAS LEGAIS </t>
  </si>
  <si>
    <t xml:space="preserve">D - AUSÊNCIA POR ACIDENTE DE TRABALHO </t>
  </si>
  <si>
    <t>F- INCIDÊNCIA SUBMÓDULO 4.1 S/ ITENS B, C E D</t>
  </si>
  <si>
    <t>TOTAL SUBMÓDULO 4.4</t>
  </si>
  <si>
    <t>TOTAL MÓDULO 4 REPASSE DIRETO</t>
  </si>
  <si>
    <t xml:space="preserve">TOTAL SUBMÓDULO 4.5 </t>
  </si>
  <si>
    <t>A - AVISO PRÉVIO INDENIZADO E REFLEXO DO API</t>
  </si>
  <si>
    <t>B - INCIDÊNCIA DO FGTS S/ API E REFLEXO API</t>
  </si>
  <si>
    <t>C - MULTA FGTS E CONTRIBUIÇÃO SOCIAL DO API</t>
  </si>
  <si>
    <t xml:space="preserve">G - INDENIZAÇÃO ADICIONAL </t>
  </si>
  <si>
    <t>MÓDULO 4 - CONTA VINCULADA</t>
  </si>
  <si>
    <t xml:space="preserve"> 13º SALÁRIO</t>
  </si>
  <si>
    <t>FÉRIAS E ADICIONAL DE FÉRIAS</t>
  </si>
  <si>
    <t>MULTA DE FGTS E CONTRIBUIÇÃO SOCIAL SOBRE APT</t>
  </si>
  <si>
    <t>TOTAL MÓDULO 4 - TODAS AS VERBAS</t>
  </si>
  <si>
    <t>MÓDULO 5 - CUSTOS INDIRETOS, TRIBUTOS E LUCRO</t>
  </si>
  <si>
    <t>CUSTOS INDIRETOS</t>
  </si>
  <si>
    <t>TOTAL TRIBUTOS</t>
  </si>
  <si>
    <t>LUCRO</t>
  </si>
  <si>
    <t>TOTAL MÓDULO 5</t>
  </si>
  <si>
    <t xml:space="preserve"> NOTA FISCAL</t>
  </si>
  <si>
    <t>QUANTIDADE DE DIAS:</t>
  </si>
  <si>
    <t>DIAS TRABALHADOS PARA FATURAMENTO</t>
  </si>
  <si>
    <t>DIAS TRABALHADOS PARA RETENÇÃO CONTA VINCULADA</t>
  </si>
  <si>
    <t>DATA DE INÍCIO NA PGJ</t>
  </si>
  <si>
    <t>DATA DE SAÍDA DA PGJ</t>
  </si>
  <si>
    <t>AFASTAMENTO</t>
  </si>
  <si>
    <t>DATA DE INÍCIO</t>
  </si>
  <si>
    <t>DATA DE RETORNO</t>
  </si>
  <si>
    <t xml:space="preserve">TIPO </t>
  </si>
  <si>
    <t xml:space="preserve">SALÁRIO BASE </t>
  </si>
  <si>
    <t>VALORES COM BASE NA PLANILHA DE CUSTOS</t>
  </si>
  <si>
    <t>VALOR REMUNERAÇÃO DO MÊS PARA FATURAMENTO</t>
  </si>
  <si>
    <t>ENCARGOS INCIDENTES</t>
  </si>
  <si>
    <t>REMUNERAÇÃO BASE PARA 13º E FÉRIAS CONTA VINCULADA</t>
  </si>
  <si>
    <t>Repactuação 13º salário</t>
  </si>
  <si>
    <t>Repactuação  Férias + Terço Constitucional</t>
  </si>
  <si>
    <t>Repactuação  Multa do FGTS</t>
  </si>
  <si>
    <t>Repactuação  Encargos 13º salário</t>
  </si>
  <si>
    <t>Repactuação  Encargos Férias + Terço Constitucional</t>
  </si>
  <si>
    <t>TOTAL REPACTUADO</t>
  </si>
  <si>
    <t>Processo nº:</t>
  </si>
  <si>
    <t>CNPJ:</t>
  </si>
  <si>
    <t>Informe o índice de retenção do 13º ►</t>
  </si>
  <si>
    <t>Índice de retenção férias ►</t>
  </si>
  <si>
    <t>Informe o total do submodulo 4.1 ►</t>
  </si>
  <si>
    <t>Informe o lucro retido se o caso ►</t>
  </si>
  <si>
    <t>Informe a retenção da multa ►</t>
  </si>
  <si>
    <t xml:space="preserve">Índice de retenção </t>
  </si>
  <si>
    <t>Nome do empregado</t>
  </si>
  <si>
    <t>Data do Início no PGJ</t>
  </si>
  <si>
    <t>Data da Saída</t>
  </si>
  <si>
    <t>Data do Início da Repactuação</t>
  </si>
  <si>
    <t>Data final da Repactuação</t>
  </si>
  <si>
    <t>Remuneração</t>
  </si>
  <si>
    <t>Remuneração repactuada</t>
  </si>
  <si>
    <t>Qtde de dias</t>
  </si>
  <si>
    <t xml:space="preserve"> meses </t>
  </si>
  <si>
    <t xml:space="preserve"> dias </t>
  </si>
  <si>
    <t xml:space="preserve"> Valor retido </t>
  </si>
  <si>
    <t xml:space="preserve"> Novo valor da retenção</t>
  </si>
  <si>
    <t xml:space="preserve"> Acréscimo TOTAL </t>
  </si>
  <si>
    <t>Barbacena</t>
  </si>
  <si>
    <t>Rodoviários de Babacena + SEAC-MG</t>
  </si>
  <si>
    <t>Betim</t>
  </si>
  <si>
    <t>Rodoviários de Betim + SEAC-MG</t>
  </si>
  <si>
    <t>Caratinga</t>
  </si>
  <si>
    <t>Rodoviários de Caratinga + SEAC-MG</t>
  </si>
  <si>
    <t>Conselheiro Lafaiete</t>
  </si>
  <si>
    <t>Rodoviários de Conselheiro Lafaiete + SEAC-MG</t>
  </si>
  <si>
    <t>Contagem</t>
  </si>
  <si>
    <t>Rodoviários de Contagem + SEAC-MG</t>
  </si>
  <si>
    <t>Diamantina</t>
  </si>
  <si>
    <t>FETTROMINAS + SEAC-MG</t>
  </si>
  <si>
    <t>Rodoviários de Divinópolis + SEAC-MG</t>
  </si>
  <si>
    <t>Governador Valadares</t>
  </si>
  <si>
    <t>Rodoviários de Governador Valadares + SEAC-MG</t>
  </si>
  <si>
    <t>Ituiutaba</t>
  </si>
  <si>
    <t>Rodoviários de Ituiutaba + SEAC-MG</t>
  </si>
  <si>
    <t>Juiz de Fora</t>
  </si>
  <si>
    <t>Rodoviários de Juiz de Fora + SIEPS</t>
  </si>
  <si>
    <t>Lavras</t>
  </si>
  <si>
    <t>Rodoviário de Lavras + SEAC-MG</t>
  </si>
  <si>
    <t>Montes Claros</t>
  </si>
  <si>
    <t>Rodoviários de Montes Claros + SEAC-MG</t>
  </si>
  <si>
    <t>Nova Lima</t>
  </si>
  <si>
    <t>CCT Rodoviários de Belo Horizonte e RMBH + SEAC-MG</t>
  </si>
  <si>
    <t>Passos</t>
  </si>
  <si>
    <t>Rodoviários de Passos + SEAC-MG</t>
  </si>
  <si>
    <t>Patos de Minas</t>
  </si>
  <si>
    <t>Rodoviários de Patos de Minas + SEAC-MG</t>
  </si>
  <si>
    <t>Rodoviários de Poços de Caldas + SEAC-MG</t>
  </si>
  <si>
    <t>Pouso Alegre</t>
  </si>
  <si>
    <t>Rodoviários de Pouso Alegre + SEAC-MG</t>
  </si>
  <si>
    <t>Rodoviários de Belo Horizonte + SEAC-MG</t>
  </si>
  <si>
    <t>Santa Luzia</t>
  </si>
  <si>
    <t>Rodoviários de São João Del Rei + SEAC-MG</t>
  </si>
  <si>
    <t>Sete Lagoas</t>
  </si>
  <si>
    <t>Rodoviários de Sete Lagoas + SEAC-MG</t>
  </si>
  <si>
    <t>Rodoviários de Teófilo Otoni + SEAC-MG</t>
  </si>
  <si>
    <t>Rodoviários de Juiz de Fora + SEAC-MG</t>
  </si>
  <si>
    <t>Uberaba</t>
  </si>
  <si>
    <t>Rodoviários de Uberaba + SEAC-MG</t>
  </si>
  <si>
    <t>Rodoviários de Uberlândia + SEAC-MG</t>
  </si>
  <si>
    <t>Vespasiano</t>
  </si>
  <si>
    <t>Belo Horizonte</t>
  </si>
  <si>
    <t>PAF/PBS</t>
  </si>
  <si>
    <t>ASSIDUIDADE</t>
  </si>
  <si>
    <t>ALIMENTAÇÃO</t>
  </si>
  <si>
    <t>CESTA ALIMENTAÇÃO</t>
  </si>
  <si>
    <t>LOCALIDADE</t>
  </si>
  <si>
    <t>CCT</t>
  </si>
  <si>
    <t>Divinopolis</t>
  </si>
  <si>
    <t>Ribeirao das Neves</t>
  </si>
  <si>
    <t>Uberlandia</t>
  </si>
  <si>
    <t>Uba</t>
  </si>
  <si>
    <t>Teofilo Otoni</t>
  </si>
  <si>
    <t>Pocos de Caldas</t>
  </si>
  <si>
    <t>Sao Joao Del Rei</t>
  </si>
  <si>
    <t>PLANILHA DE APURAÇÃO DE  AUXÍLIO ALIMENTAÇÃO (TÍQUETE REFEIÇÃO) E AUXÍLIO TRANSPORTE</t>
  </si>
  <si>
    <t>QUANTIDADE DE DIAS ÚTEIS (VALOR MÁXIMO E FIXO)</t>
  </si>
  <si>
    <t>Auxílio Alimentação (Tíquete Refeição)</t>
  </si>
  <si>
    <t>ANEXO VI</t>
  </si>
  <si>
    <t>PLANILHA ESTIMATIVA DE UNIFORMES E EPI'S</t>
  </si>
  <si>
    <t>LOTE ÚNICO - SERVIÇOS DE APOIO ADMINISTRATIVO, MOTORISTA, LIMPEZA E CONSERVAÇÃO</t>
  </si>
  <si>
    <t>Cargo</t>
  </si>
  <si>
    <t xml:space="preserve">Quantidade de Funcionários </t>
  </si>
  <si>
    <t>Calça Comprida</t>
  </si>
  <si>
    <t>Camisa manga curta</t>
  </si>
  <si>
    <t>Camisa manga longa</t>
  </si>
  <si>
    <t>Blazer M/F</t>
  </si>
  <si>
    <t>Colete</t>
  </si>
  <si>
    <t>Gravata</t>
  </si>
  <si>
    <t>Calçados M/F</t>
  </si>
  <si>
    <t>Avental</t>
  </si>
  <si>
    <t>Jaleco</t>
  </si>
  <si>
    <t>Creme protetor de seguraça</t>
  </si>
  <si>
    <t xml:space="preserve">Conjunto </t>
  </si>
  <si>
    <t>Cinto de segurança</t>
  </si>
  <si>
    <t>Luvas</t>
  </si>
  <si>
    <t>Máscara descartável</t>
  </si>
  <si>
    <t>Máscara respiratória</t>
  </si>
  <si>
    <t>Perneiras</t>
  </si>
  <si>
    <t>Protetor Facial</t>
  </si>
  <si>
    <t xml:space="preserve">Protetor Auricular </t>
  </si>
  <si>
    <t>Óculos de Segurança</t>
  </si>
  <si>
    <t>Touca</t>
  </si>
  <si>
    <t>TOTAL GERAL ANUAL</t>
  </si>
  <si>
    <t>VALOR UNITÁRIO MENSAL</t>
  </si>
  <si>
    <t>Brim</t>
  </si>
  <si>
    <t>Jeans escuro</t>
  </si>
  <si>
    <t>Oxford modelo social</t>
  </si>
  <si>
    <t>Grafil-Santista</t>
  </si>
  <si>
    <t>Malha - PV</t>
  </si>
  <si>
    <t>Polo em malha de algodão</t>
  </si>
  <si>
    <t xml:space="preserve">Total </t>
  </si>
  <si>
    <t>Oxford preto</t>
  </si>
  <si>
    <t>Oxford preto, com bolso frontal tipo faca</t>
  </si>
  <si>
    <t>Borboleta em tecido cetim preto</t>
  </si>
  <si>
    <t>Social em tecido poliéster preto</t>
  </si>
  <si>
    <t>Sapato segurança em couro com elástico</t>
  </si>
  <si>
    <t>Sapato social em couro preto- M/F</t>
  </si>
  <si>
    <t>Botina PVC forrada cano longo</t>
  </si>
  <si>
    <t>Botina de segurança em couro com biqueira em aço</t>
  </si>
  <si>
    <t>Botina de segurança em couro com, solado PU, com elástico e biqueira em polipropileno</t>
  </si>
  <si>
    <t>Tênis em lona</t>
  </si>
  <si>
    <t>Em vinil</t>
  </si>
  <si>
    <t>PVC</t>
  </si>
  <si>
    <t>Raspa de couro</t>
  </si>
  <si>
    <t>Manga curta - Brim - com dois bolsos, com inscrição impressa em serigrafia nas costas</t>
  </si>
  <si>
    <t>Manga comprida - Oxford ou poliéster com dois bolsos frontais</t>
  </si>
  <si>
    <t>Creme protetor dos membros superiores (Grupo 3) para a pele hidrossolúvel e óleo resistente</t>
  </si>
  <si>
    <t>Calça e blusão impermenáveis em PVC</t>
  </si>
  <si>
    <t>Lombar</t>
  </si>
  <si>
    <t>Anticorte com tato</t>
  </si>
  <si>
    <t>Isolante para média tensão</t>
  </si>
  <si>
    <t>Látex</t>
  </si>
  <si>
    <t>Vaqueta</t>
  </si>
  <si>
    <t>Em TNT com elástico</t>
  </si>
  <si>
    <t>PFF2</t>
  </si>
  <si>
    <t>PFF3</t>
  </si>
  <si>
    <t>Transparente</t>
  </si>
  <si>
    <t>Tipo concha</t>
  </si>
  <si>
    <t>Ampla visão</t>
  </si>
  <si>
    <t>Especial para solda</t>
  </si>
  <si>
    <t>Lente incolor</t>
  </si>
  <si>
    <t>Branca tela e pala</t>
  </si>
  <si>
    <t>Almoxarife</t>
  </si>
  <si>
    <t>Ascensorista</t>
  </si>
  <si>
    <t>Auxiliar Administrativo</t>
  </si>
  <si>
    <t>Auxiliar de Arquivo</t>
  </si>
  <si>
    <t>Auxiliar de Manutenção Predial</t>
  </si>
  <si>
    <t>Bombeiro Hidráulico</t>
  </si>
  <si>
    <t>Carregador</t>
  </si>
  <si>
    <t>Contínuo</t>
  </si>
  <si>
    <t>Copeiro</t>
  </si>
  <si>
    <t>Cozinheiro</t>
  </si>
  <si>
    <t>Digitador</t>
  </si>
  <si>
    <t>Eletricista</t>
  </si>
  <si>
    <t>Garçom</t>
  </si>
  <si>
    <t>Jardineiro</t>
  </si>
  <si>
    <t>Lavador de Veículos</t>
  </si>
  <si>
    <t>Manobrista</t>
  </si>
  <si>
    <t>Marceneiro</t>
  </si>
  <si>
    <t>Motorista</t>
  </si>
  <si>
    <t>Operador de Máquina Reprográfica</t>
  </si>
  <si>
    <t>Pedreiro</t>
  </si>
  <si>
    <t>Pintor</t>
  </si>
  <si>
    <t>Porteiro</t>
  </si>
  <si>
    <t>Recepcionista</t>
  </si>
  <si>
    <t>Serralheiro</t>
  </si>
  <si>
    <t>Supervisor de Manutenção de Veículos</t>
  </si>
  <si>
    <t xml:space="preserve">Téc. Op. Equip. de Áudio e Vídeo </t>
  </si>
  <si>
    <t>Técnico de Man. Eletrônica I</t>
  </si>
  <si>
    <t>Técnico de Man. Eletrônica II</t>
  </si>
  <si>
    <t>Técnico de Man. Eletrônica III</t>
  </si>
  <si>
    <t>Técnico de Man. Eletrônica IV</t>
  </si>
  <si>
    <t xml:space="preserve">Mecânico de Climatização </t>
  </si>
  <si>
    <t>Telefonista</t>
  </si>
  <si>
    <t>Total Anual</t>
  </si>
  <si>
    <t>SALÁRIO BÁSE</t>
  </si>
  <si>
    <t>TRIBUTOS DE REPASSE DIRETO</t>
  </si>
  <si>
    <t>TRIBUTOS DE CONTA VINCULADA</t>
  </si>
  <si>
    <t xml:space="preserve">No cabeçalho deve ser prenchido todas as células em "amarelo" (Empresa, Contrato nº, Mês de Referência, Data Inicial, Data Final) pois estas céluas são base para cálculo da "Quantidade de Dias" para retenção da Conta Vinculada. </t>
  </si>
  <si>
    <t xml:space="preserve">O "salário base" bem como os "adicionais" que o compõem devem ter como base o valor contido na planilha de custos. Deve ser criado banco de dados para se localizar valores. </t>
  </si>
  <si>
    <t xml:space="preserve">Módulo 3: Os valores de Uniformes podem ser buscados da planilha base de Uniforme. Para os demais valores do módulo também pode ser criada planilha específica quando for o caso de aplicação. </t>
  </si>
  <si>
    <t>Instruções iniciais</t>
  </si>
  <si>
    <t xml:space="preserve">Haverá uma Notal Fiscal para cada Localidade que deverá ter discriminado o valor de Repasse Direto e o Valor de Retenção de Conta Vinculada no mês. </t>
  </si>
  <si>
    <t>STATUS ATUAL</t>
  </si>
  <si>
    <t>Qualquer modificação que venha  a ser realizada sempre observar se não há alteração nas fórmulas de retenção da conta vinculada e demais fórmulas vinculadas a alguns valores.</t>
  </si>
  <si>
    <t>RESUMO MOTORISTAS</t>
  </si>
  <si>
    <t>VALOR VIGENTE</t>
  </si>
  <si>
    <t>Item</t>
  </si>
  <si>
    <t>Cidade</t>
  </si>
  <si>
    <t>Funções</t>
  </si>
  <si>
    <t>FUNÇÕES/LOCALIDADE</t>
  </si>
  <si>
    <t>RESUMO TOTAL FATURAMENTO MENSAL</t>
  </si>
  <si>
    <t>CONTRATO</t>
  </si>
  <si>
    <t>EMPRESA</t>
  </si>
  <si>
    <t>VALOR RETIDO EM CONTA VINCULADA</t>
  </si>
  <si>
    <t>VALOR REPASSE DIRETO</t>
  </si>
  <si>
    <t>TOTAL GERAL</t>
  </si>
  <si>
    <t xml:space="preserve">DESPESA DE VIAGEM </t>
  </si>
  <si>
    <t>E - OUTROS</t>
  </si>
  <si>
    <t>TOTAL  MÓDULO 2 - REPASSE DIRETO</t>
  </si>
  <si>
    <t xml:space="preserve">Os "dias trabalhados para faturamento" bem como o"Valor Remuneração do Mês para faturamento" são a base para fins de faturamento da prestação de serviços mensais e para cálculo das verbas de repasse direto que não serão repassadas de forma integral.  </t>
  </si>
  <si>
    <t>Os itens de Repasse Direto do Módulo 4 possuem rubricas com valores baseados na planilha de custos.</t>
  </si>
  <si>
    <t xml:space="preserve">Os Custos Indiretos  e o Lucro serão fixos por posto/tipo de serviço (valor definitivo após firmado contrato). Os repasses de tais valores será integral por posto de trabalho. Já os Tributos variam conforme localidade. </t>
  </si>
  <si>
    <t>VALOR TARIFA VT CAPITAL (REFERÊNCIA  BH)</t>
  </si>
  <si>
    <t>VALOR TARIFA VT INTERIOR (REFERÊNCIA CONTAGEM)</t>
  </si>
  <si>
    <t>Nº NOTA FISCAL</t>
  </si>
  <si>
    <t>VALOR TOTAL A SER FATURADO NOTA FISCAL</t>
  </si>
  <si>
    <t>SINDICATO</t>
  </si>
  <si>
    <t>CIDADE/FUNÇÃO</t>
  </si>
  <si>
    <t>PATRICIA DE SOUZA GONCALVES DE OLIVEIRA</t>
  </si>
  <si>
    <t>LANA FERNANDES ALVES</t>
  </si>
  <si>
    <t>JUSSARA MOREIRA LIMA</t>
  </si>
  <si>
    <t>DAIANE MONIQUE DUARTE CARMO</t>
  </si>
  <si>
    <t>TAISA PATRICIA VIEIRA DE ALMEIDA SANTOS</t>
  </si>
  <si>
    <t>ANNA CLARA MAGALHAES ROCHA</t>
  </si>
  <si>
    <t>HENRIQUE SOUSA CHAGAS</t>
  </si>
  <si>
    <t>JONATHAN RODRIGUES GONCALVES DA SILVA</t>
  </si>
  <si>
    <t>LIDIA ZALLIO DE SOUZA</t>
  </si>
  <si>
    <t>FERNANDA DA SILVA CAMELO</t>
  </si>
  <si>
    <t>VICTOR SERRA OLIVEIRA SILVA</t>
  </si>
  <si>
    <t>MICHELE FERNANDES DOS SANTOS</t>
  </si>
  <si>
    <t>KEVIN KENNEDY SILVA DA ANUNCIACAO</t>
  </si>
  <si>
    <t>RAGNER TORRES APOLINARIO</t>
  </si>
  <si>
    <t>PAOLA PEREIRA DE SOUZA</t>
  </si>
  <si>
    <t>MARILIA FERREIRA FURTADO HONORATO</t>
  </si>
  <si>
    <t>VINICIUS FREITAS PEREIRA DA SILVA</t>
  </si>
  <si>
    <t>PIETRO HECTOR BARRIONI MOURA</t>
  </si>
  <si>
    <t>GABRIEL HENRIQUE SILVESTRE DA SILVA</t>
  </si>
  <si>
    <t>PAULO ADOLFO DE OLIVEIRA</t>
  </si>
  <si>
    <t>ELIAS MINEIRO SILVA</t>
  </si>
  <si>
    <t>DONIZETE SILVIO GONCALVES</t>
  </si>
  <si>
    <t>NELIO NUNES DA COSTA</t>
  </si>
  <si>
    <t>RAFAEL OLIVEIRA RODRIGUES</t>
  </si>
  <si>
    <t>ALEXANDRA COLOMATTRE BATISTA</t>
  </si>
  <si>
    <t>ANA LUIZA GREGORIO MALAQUIAS</t>
  </si>
  <si>
    <t>GLAUCIA GOMES LEITE</t>
  </si>
  <si>
    <t>ALEXANDRE RESENDE DE PAULA</t>
  </si>
  <si>
    <t>GUILHERME PAGANINI SILVEIRA</t>
  </si>
  <si>
    <t>PAULO HENRIQUE SILVERIO RODRIGUES</t>
  </si>
  <si>
    <t>GABRIEL BICALHO DE OLIVEIRA</t>
  </si>
  <si>
    <t>ROSINEY JOSE BELTRAO DE MIRANDA</t>
  </si>
  <si>
    <t>FABIANO SILVA CASSIMIRO</t>
  </si>
  <si>
    <t>TAYNA LUCAS FERREIRA</t>
  </si>
  <si>
    <t>MEIRIANE FELIX TIMOTEO</t>
  </si>
  <si>
    <t>VITOR ANTONIO DA SILVA GOMES</t>
  </si>
  <si>
    <t>FELIPE DA SILVA SOUZA</t>
  </si>
  <si>
    <t>IVAN IZIDORIO CANDIDO SILVA</t>
  </si>
  <si>
    <t>ALAIR RIBEIRO ARAUJO</t>
  </si>
  <si>
    <t>NILTON DE OLIVEIRA NEVES</t>
  </si>
  <si>
    <t>CLAUDIO SILVA URIAS</t>
  </si>
  <si>
    <t>TIAGO APARECIDO LEMOS DA SILVA</t>
  </si>
  <si>
    <t>ANDANYANE CAROLINE NOGUEIRA FERREIRA</t>
  </si>
  <si>
    <t>THIAGO JOEL DOS REIS ARAUJO</t>
  </si>
  <si>
    <t>ADRIANA SOUZA MENDES</t>
  </si>
  <si>
    <t>EMILIA DE JESUS SANTOS</t>
  </si>
  <si>
    <t>FABIANA PINHEIRO DE SOUZA HORACIO SILVA</t>
  </si>
  <si>
    <t>ENY PEREIRA MOTA</t>
  </si>
  <si>
    <t>GABRIELA MARCIANO DA SILVA</t>
  </si>
  <si>
    <t>JESSICA FERNANDA ELIAS</t>
  </si>
  <si>
    <t>JANETE MARILIA SILVA</t>
  </si>
  <si>
    <t>TIBURCA RODRIGUES DE JESUS</t>
  </si>
  <si>
    <t>JANETE FERREIRA DOS SANTOS</t>
  </si>
  <si>
    <t>THIAGO ALVES AMORIM</t>
  </si>
  <si>
    <t>ADSON LUIZ CERQUEIRA BENTO</t>
  </si>
  <si>
    <t>PRISCILA CARINE DE JESUS SANTOS</t>
  </si>
  <si>
    <t>FATIMA APARECIDA DE PAULA</t>
  </si>
  <si>
    <t>SANDRA CRISTINA ALVES CABRAL</t>
  </si>
  <si>
    <t>LUZIA DO ROSARIO PEREIRA LIMA</t>
  </si>
  <si>
    <t>TELMA MARIA MACIEL</t>
  </si>
  <si>
    <t>NILDETE PEREIRA DA SILVA</t>
  </si>
  <si>
    <t>CLAUDIA FERNANDES ELOY</t>
  </si>
  <si>
    <t>FERNANDA DE OLIVEIRA BARROS</t>
  </si>
  <si>
    <t>FERNANDA DA SILVA CAMARGOS</t>
  </si>
  <si>
    <t>JANAINA DE SOUZA GOMES</t>
  </si>
  <si>
    <t>ROSILENE ALVES DE FATIMA</t>
  </si>
  <si>
    <t>ANGELICA APARECIDA DA SILVA SANTOS MACEDO</t>
  </si>
  <si>
    <t>MARIA JULIA LIMA VIANA</t>
  </si>
  <si>
    <t>LOURDES DA SILVA DIAS</t>
  </si>
  <si>
    <t>ALESSANDRA APARECIDA DE OLIVEIRA ALVES</t>
  </si>
  <si>
    <t>DINAIR EUGENIO DOS SANTOS</t>
  </si>
  <si>
    <t>CATARINA MARIA DA SILVA</t>
  </si>
  <si>
    <t>CLAUDIA BORGES PEREIRA</t>
  </si>
  <si>
    <t>SIMONE APARECIDA SOARES SILVA DOS REIS</t>
  </si>
  <si>
    <t>SIRLEI ROSA MARIANO</t>
  </si>
  <si>
    <t>FRANCISCA DA CONCEICAO SANTOS</t>
  </si>
  <si>
    <t>SOLAMITA RISSI DE MELO</t>
  </si>
  <si>
    <t>FERNANDA CAROLINE DA SILVA</t>
  </si>
  <si>
    <t>AUDINEIA BELIZARIO DA SILVA</t>
  </si>
  <si>
    <t>LUIS CLAUDIO SABINO</t>
  </si>
  <si>
    <t>RENATA APARECIDA DE AZEVEDO CAPUCCI</t>
  </si>
  <si>
    <t>ROSEMEIRE ERNESTINA DA SILVA</t>
  </si>
  <si>
    <t>KEINE DE SOUSA PEREIRA</t>
  </si>
  <si>
    <t>DANIELA BUENO DOS SANTOS</t>
  </si>
  <si>
    <t>VIVIANE RODRIGUES FIDELIS</t>
  </si>
  <si>
    <t>Efetivo</t>
  </si>
  <si>
    <t>Afastado</t>
  </si>
  <si>
    <t>CLAUDINEI FIGUEIREDO DA SILVA</t>
  </si>
  <si>
    <t>NOV.15</t>
  </si>
  <si>
    <t>099/2015</t>
  </si>
  <si>
    <t>EVANDRO HIRLE GOMES</t>
  </si>
  <si>
    <t>Substituto</t>
  </si>
  <si>
    <t>LUCAS DE JESUS VIEIRA</t>
  </si>
  <si>
    <t>ELIZEU LOPES RAMOS DOS SANTOS</t>
  </si>
  <si>
    <t>SARA REGINA MACHADO</t>
  </si>
  <si>
    <t>TATIANE JOYCE DOS SANTOS SILVA</t>
  </si>
  <si>
    <t>INSS</t>
  </si>
  <si>
    <t>LOTE</t>
  </si>
  <si>
    <t>LEONARDO TAVARES GUIMARAES</t>
  </si>
  <si>
    <t>FABIANO NEVES RIBEIRO</t>
  </si>
  <si>
    <t>MARCILIO DA SILVA PEREIRA</t>
  </si>
  <si>
    <t>EDIMARCIO MONTEIRO REZENDE</t>
  </si>
  <si>
    <t>JESSICA FABIANA ROCHA EVANGELISTA</t>
  </si>
  <si>
    <t>GISELLE GOMES LOURENCO</t>
  </si>
  <si>
    <t>IVANILDO DE JESUS MAIA</t>
  </si>
  <si>
    <t>ISABEL CRISTINA DOS SANTOS MONTEIRO</t>
  </si>
  <si>
    <t>MATHEUS PHILLIPE QUADROS DE CASTRO</t>
  </si>
  <si>
    <t>REGINALDO MARINHO</t>
  </si>
  <si>
    <t>MATHEUS HENRIQUE EVANGELISTA FELICIO</t>
  </si>
  <si>
    <t>TAMIRES APARECIDA DE MATOS GOMES</t>
  </si>
  <si>
    <t>CRISTIANE ROSA LOURENCO</t>
  </si>
  <si>
    <t>MICHELLE FABIANA MARTINS DE MORAIS</t>
  </si>
  <si>
    <t>FERNANDA FERREIRA DE SOUZA</t>
  </si>
  <si>
    <t>ROSIANE RODRIGUES DA COSTA</t>
  </si>
  <si>
    <t>DANIELA BASTOS GODIN DE SOUSA</t>
  </si>
  <si>
    <t>MONICA LOPES CONSTANTINO</t>
  </si>
  <si>
    <t>MARIA APARECIDA DE CASTRO SANTOS SOUZA</t>
  </si>
  <si>
    <t>PATRICIA SOUSA NEVES FERREIRA</t>
  </si>
  <si>
    <t>DANIELA DA SILVA</t>
  </si>
  <si>
    <t>SIRLEA MARCELINA DE JESUS</t>
  </si>
  <si>
    <t>SILVANA VIEIRA NUNES</t>
  </si>
  <si>
    <t>MARIA DA PAIXAO DE JESUS SANTOS</t>
  </si>
  <si>
    <t>MARIA DA CONCEICAO CAETANO</t>
  </si>
  <si>
    <t>CRISTINA PEREIRA SOUZA</t>
  </si>
  <si>
    <t>FRANCIELE CRISTINA DA SILVA</t>
  </si>
  <si>
    <t>NILMA SANTOS DA SILVA</t>
  </si>
  <si>
    <t>FERNANDA GONCALVES CORDEIRO</t>
  </si>
  <si>
    <t>ANGELICA GOMES PINHEIRO</t>
  </si>
  <si>
    <t>JACIRA BERNARDES DOS SANTOS ANDRADE</t>
  </si>
  <si>
    <t>SUELI APARECIDA MALTA</t>
  </si>
  <si>
    <t>MARCIA REJANE MALTA</t>
  </si>
  <si>
    <t>MILENA CASSIMIRO</t>
  </si>
  <si>
    <t>LEANDRO RODRIGUES LIMA</t>
  </si>
  <si>
    <t>FÉRIAS</t>
  </si>
  <si>
    <t>STATUS</t>
  </si>
  <si>
    <t>FALTAS</t>
  </si>
  <si>
    <t>POSTOS</t>
  </si>
  <si>
    <t>IMPOSTO</t>
  </si>
  <si>
    <t>DT INICIO</t>
  </si>
  <si>
    <t>DT SAÍDA</t>
  </si>
  <si>
    <t>RETORNO</t>
  </si>
  <si>
    <t>PERICULOSIDADE</t>
  </si>
  <si>
    <t>INSALUBRIDADE</t>
  </si>
  <si>
    <t>AD NOTURNO</t>
  </si>
  <si>
    <t>H NOTURNA</t>
  </si>
  <si>
    <t>HE</t>
  </si>
  <si>
    <t>INTRAJORNADA</t>
  </si>
  <si>
    <t>FERIADO</t>
  </si>
  <si>
    <t>TOTAL REMUNERAÇÃO</t>
  </si>
  <si>
    <t>DIAS FATURAMENTO</t>
  </si>
  <si>
    <t>DIAS CV</t>
  </si>
  <si>
    <t>REMUNERAÇÃO CV</t>
  </si>
  <si>
    <t>REMUNERAÇÃO CV2</t>
  </si>
  <si>
    <t>REMUNERAÇÃO CV3</t>
  </si>
  <si>
    <t>CESTA</t>
  </si>
  <si>
    <t>SAUDE</t>
  </si>
  <si>
    <t>SEGURO</t>
  </si>
  <si>
    <t>VIAGEM</t>
  </si>
  <si>
    <t>TOTAL MOD 2</t>
  </si>
  <si>
    <t>UNIFORME</t>
  </si>
  <si>
    <t>MATERIAL</t>
  </si>
  <si>
    <t>MAQ/EQUIP</t>
  </si>
  <si>
    <t>PRODUTO LIMPEZA</t>
  </si>
  <si>
    <t>TOTAL MOD 3</t>
  </si>
  <si>
    <t>TOTAL MOD 4.4</t>
  </si>
  <si>
    <t>TOTAL MOD 4.5</t>
  </si>
  <si>
    <t>TOTAL MOD 4</t>
  </si>
  <si>
    <t>TOTAL MOD  4 GERAL</t>
  </si>
  <si>
    <t>TRIBUTOS MOD 5</t>
  </si>
  <si>
    <t>TRIBUTOS CV</t>
  </si>
  <si>
    <t>TOTAL MOD 5</t>
  </si>
  <si>
    <t>TOTAL NOV</t>
  </si>
  <si>
    <t>TOT RETENÇÃO NOV</t>
  </si>
  <si>
    <t>TOTAL CONTA VINCULADA</t>
  </si>
  <si>
    <t>TOTAL NOTA FISCAL</t>
  </si>
  <si>
    <t>VAZIO</t>
  </si>
  <si>
    <t>VAZIA</t>
  </si>
  <si>
    <t>RODRIGO LANA PACHECO</t>
  </si>
  <si>
    <t>ALEXANDER RODRIGUES DE ALCANTARA</t>
  </si>
  <si>
    <t>CARLOS ROBERTO DA SILVA</t>
  </si>
  <si>
    <t>CRISTIANE DE CASSIA SILVA</t>
  </si>
  <si>
    <t>FABIANO MARQUES CORREA</t>
  </si>
  <si>
    <t>GUILHERME DE OLIVEIRA RAMOS</t>
  </si>
  <si>
    <t>HERMANDO RODRIGUES CARLOS</t>
  </si>
  <si>
    <t>LAIZ SILVA RODRIGUES</t>
  </si>
  <si>
    <t>LUIZ FERNANDO JESUS LIMA</t>
  </si>
  <si>
    <t>MARCELO RODRIGUES ANIBAL</t>
  </si>
  <si>
    <t>MARIA ROSELI MEDEIROS DE ALMEIDA</t>
  </si>
  <si>
    <t>MEIRIBEL APARECIDA DOS SANTOS ROCHA</t>
  </si>
  <si>
    <t>Licença Maternidade</t>
  </si>
  <si>
    <t>RONALDO JORGE GUEDES DE OLIVEIRA FILHO</t>
  </si>
  <si>
    <t>ROSILENE RODRIGUES LEAO SIQUEIRA</t>
  </si>
  <si>
    <t>STELA CRISTINA SILVA SANTOS</t>
  </si>
  <si>
    <t>STEPHANO COSTA BATISTA</t>
  </si>
  <si>
    <t>TAISLLA BRUNNELA ALVES DE SOUZA</t>
  </si>
  <si>
    <t>TATIANA AZAMBUJA ALVES</t>
  </si>
  <si>
    <t>WILMA MENEZES DA SILVA</t>
  </si>
  <si>
    <t>REMUNERAÇÃO BASE PARA MULTA DE FGTS E CONTRIBUIÇÃO SOCIAL</t>
  </si>
  <si>
    <t>ADILSON MOTA</t>
  </si>
  <si>
    <t>LARISSA PAULA FERNANDES</t>
  </si>
  <si>
    <t>MARCELO COSTA SILVA</t>
  </si>
  <si>
    <t>LUARA GABRIELA SILVA TERRA</t>
  </si>
  <si>
    <t>LUIZ GUSTAVO CASTRO PORTELA</t>
  </si>
  <si>
    <t>SANDRA ELIZA DA SILVA</t>
  </si>
  <si>
    <t>MARLY DE JESUS DIAS SENA</t>
  </si>
  <si>
    <t>MARCILIO DA SILVA PEREIRA..</t>
  </si>
  <si>
    <t>FALTAS/ATRASOS</t>
  </si>
  <si>
    <t>DIAS TRABALHADOS</t>
  </si>
  <si>
    <t>SALÁRIO PROPORCIONAL</t>
  </si>
  <si>
    <t>NOME DO SETOR</t>
  </si>
  <si>
    <t>AUXÍLIO ALIMENTAÇÃO (TÍQUETE REFEIÇÃO) - VA</t>
  </si>
  <si>
    <t>AUXÍLIO TRANSPORTE - VT</t>
  </si>
  <si>
    <t>DIAS ÚTEIS</t>
  </si>
  <si>
    <t>VALOR UNIT.</t>
  </si>
  <si>
    <t>DESCONTO VA</t>
  </si>
  <si>
    <t>TOTAL C/ DESCONTO</t>
  </si>
  <si>
    <t>DIF. VA</t>
  </si>
  <si>
    <t>VALOR</t>
  </si>
  <si>
    <t>DESCONTO 6%</t>
  </si>
  <si>
    <t xml:space="preserve">VT </t>
  </si>
  <si>
    <t>SIM/NÃO</t>
  </si>
  <si>
    <t>Férias</t>
  </si>
  <si>
    <t>ALEX BORGES DOS SANTOS</t>
  </si>
  <si>
    <t>ANA PAULA MARQUES DE SOUZA</t>
  </si>
  <si>
    <t>ANDRE ALVES DA SILVA</t>
  </si>
  <si>
    <t>CARLOS ANTONIO DE SOUZA RUFINO</t>
  </si>
  <si>
    <t>DAVID CORSINO SANTIAGO</t>
  </si>
  <si>
    <t>DECIO LOURENCO FERREIRA</t>
  </si>
  <si>
    <t>EDSON DE ARAUJO</t>
  </si>
  <si>
    <t>ELIANE JESUINA DE OLIVEIRA SILVA</t>
  </si>
  <si>
    <t>FABIANA CRISTINA DE FREITAS</t>
  </si>
  <si>
    <t>FELLIPE AUGUSTO RODRIGUES LEMOS</t>
  </si>
  <si>
    <t>FLAVIANO BITENCOURT</t>
  </si>
  <si>
    <t>GABRIELLA LOUISE SEGUNDO WENCESLAU GOMES</t>
  </si>
  <si>
    <t>GISLENE FERNANDES JESUS DE OLIVEIRA</t>
  </si>
  <si>
    <t>HELENA RIBEIRO RAMOS</t>
  </si>
  <si>
    <t>JACQUELINE BARRETO DE OLIVEIRA DA SILVA</t>
  </si>
  <si>
    <t>JOAO PEDRO COSTA DE OLIVEIRA</t>
  </si>
  <si>
    <t>JOYCILENE NARA SANTOS</t>
  </si>
  <si>
    <t>JURACI BALIEIRO DA SILVA</t>
  </si>
  <si>
    <t>LAIANE GUEDES TOLEDO</t>
  </si>
  <si>
    <t>LEANDRO NILSON AMORIM</t>
  </si>
  <si>
    <t>LETICIA VALE FARIA RODRIGUES</t>
  </si>
  <si>
    <t>LUIZ CARLOS MENDES DE OLIVEIRA</t>
  </si>
  <si>
    <t>LUIZ CLAUDIO DA SILVA</t>
  </si>
  <si>
    <t>MARCIO DE OLIVEIRA PRATES</t>
  </si>
  <si>
    <t>MARCO THULIO FAGUNDES DOS SANTOS</t>
  </si>
  <si>
    <t>MARCOS VINICIUS FARIAS DOURADO</t>
  </si>
  <si>
    <t>MARIA JOSE DA SILVA MOREIRA</t>
  </si>
  <si>
    <t>MARIA LUZIA ARAUJO</t>
  </si>
  <si>
    <t>MARISA DOS ANJOS SEVERINO</t>
  </si>
  <si>
    <t>MARLI DE FARIA COSTA</t>
  </si>
  <si>
    <t>PAULO ALEXANDRE VIEIRA</t>
  </si>
  <si>
    <t>PAULO ROBERTO RODRIGUES DE SOUSA</t>
  </si>
  <si>
    <t>ROBSON LUCAS GUIMARAES DE CASTRO</t>
  </si>
  <si>
    <t>RODRIGO ALVES DE SOUSA</t>
  </si>
  <si>
    <t>RONAN EUSTAQUIO DOS SANTOS</t>
  </si>
  <si>
    <t>SILVANA VILAS BOAS RODRIGUES</t>
  </si>
  <si>
    <t>THIAGO LUIZ ZACARIAS DOS ANJOS</t>
  </si>
  <si>
    <t>THIAGO MAX DE ALMEIDA</t>
  </si>
  <si>
    <t>MANOEL ONESIMO DE MELO</t>
  </si>
  <si>
    <t>VANILDA DOS REIS MESSIAS</t>
  </si>
  <si>
    <t>MARTA DA SILVA FRANCO</t>
  </si>
  <si>
    <t>CASSIA DE LIMA XAVIER DE SOUZA</t>
  </si>
  <si>
    <t>JONATHAN SIMIEL DA COSTA SOUZA</t>
  </si>
  <si>
    <t>LUIZ FERNANDO DE SOUZA</t>
  </si>
  <si>
    <t>RONDINELI LADISLAU DE AMORIM</t>
  </si>
  <si>
    <t>RONELIA EVARISTO DE ALMEIDA</t>
  </si>
  <si>
    <t>GLEIVERSON RODRIGUES PEREIRA</t>
  </si>
  <si>
    <t>MARIA ISABEL DOS REIS MACHADO</t>
  </si>
  <si>
    <t>ISABELA CAROLINA DE SOUSA</t>
  </si>
  <si>
    <t>CARLA JEANE SOUZA</t>
  </si>
  <si>
    <t>DIF. VA - CCT 2016</t>
  </si>
  <si>
    <t>RS 219,02</t>
  </si>
  <si>
    <t>Proporcionalizar conforme dias fixos trabalhados</t>
  </si>
  <si>
    <t xml:space="preserve">FÉRIAS OU FALTAS &lt; 15 DIAS </t>
  </si>
  <si>
    <t xml:space="preserve">LICENÇA INSS E MATERNIDADE ACIMA &gt; 15 DIAS </t>
  </si>
  <si>
    <t>LUIZ CARLOS VAZ DA SILVA</t>
  </si>
  <si>
    <t>ALYSON FERREIRA RAMOS</t>
  </si>
  <si>
    <t>ALYSSON CAMPOS TEIXEIRA</t>
  </si>
  <si>
    <t>ANA MARIA RANGEL DE LACERDA</t>
  </si>
  <si>
    <t>ANDERSON GERALDO FERNANDES</t>
  </si>
  <si>
    <t>ANDRE BORGES FREITAS</t>
  </si>
  <si>
    <t>ANDRE LUIZ DE SOUZA ALKMIM</t>
  </si>
  <si>
    <t>ANDRE LUIZ GOMES DA MOTA</t>
  </si>
  <si>
    <t>ANGELA MAZZUCHELLI GARCIA</t>
  </si>
  <si>
    <t>AURENICE OLIVEIRA SANTOS</t>
  </si>
  <si>
    <t>CAIO BRUNO XAVIER VASCONCELLOS</t>
  </si>
  <si>
    <t>ELIVELTON FERREIRA CONSTANCIO</t>
  </si>
  <si>
    <t>GILSON CARLOS DOS SANTOS CUNHA</t>
  </si>
  <si>
    <t>JOEL DE OLIVEIRA</t>
  </si>
  <si>
    <t>MARIA RITA PAIXAO CARVALHO</t>
  </si>
  <si>
    <t>MARIA ROSA DOS SANTOS OLIVEIRA</t>
  </si>
  <si>
    <t>MILENA CARDOSO OLIVEIRA</t>
  </si>
  <si>
    <t>PALOMA BERNARDES LAGO DE SOUSA</t>
  </si>
  <si>
    <t>PEDRO ALVES DE FREITAS</t>
  </si>
  <si>
    <t>POLIANA CARVALHO DA SILVA</t>
  </si>
  <si>
    <t>SIMONE DE FARIA</t>
  </si>
  <si>
    <t>THAMILES SIMONE MARTINS ROCHA</t>
  </si>
  <si>
    <t>WELITON ASSUNCAO DOS REIS</t>
  </si>
  <si>
    <t>WEMERSON PINTO FERREIRA</t>
  </si>
  <si>
    <t>EVELYN DE OLIVEIRA FERREIRA</t>
  </si>
  <si>
    <t>ROBERTA DA SILVA MOREIRA</t>
  </si>
  <si>
    <t>DEMISSÃO</t>
  </si>
  <si>
    <t>RONELIA EVARISTO DE ALMEIDA..</t>
  </si>
  <si>
    <t>LEANDRO NILSON AMORIM..</t>
  </si>
  <si>
    <t>STEPHANO COSTA BATISTA..</t>
  </si>
  <si>
    <t>LARISSA PAULA FERNANDES..</t>
  </si>
  <si>
    <t>CONTA VINCULADA</t>
  </si>
  <si>
    <t>OCORRÊNCIAS</t>
  </si>
  <si>
    <t>Status</t>
  </si>
  <si>
    <t>13º Salário</t>
  </si>
  <si>
    <t>Férias e Adicional de Férias</t>
  </si>
  <si>
    <t>Encargos incidentes</t>
  </si>
  <si>
    <t>Multa de FGTS e Contrib.Social sobre o APT</t>
  </si>
  <si>
    <t>Titular</t>
  </si>
  <si>
    <t>Calcula</t>
  </si>
  <si>
    <t>Licença INSS</t>
  </si>
  <si>
    <t>Não Calcula</t>
  </si>
  <si>
    <t>Licença Casamento</t>
  </si>
  <si>
    <t>Calcula acima de 15 Dias</t>
  </si>
  <si>
    <t>Calcula prorporcional aos dias trabalhados</t>
  </si>
  <si>
    <t>NA LICENÇA MATERNIDADE, O CÁLCULO SERÁ SEMPRE PARA O TITULAR. APENAS A PRESTAÇÃO DE SERVIÇOS E O MÓDULO 4.1 SERÃO CALCULADOS PARA O SUBSTITUTO.</t>
  </si>
  <si>
    <t>NO AFASTAMENTO INSS (+ 15 DIAS ), O SUBSTITUTO PASSA A SER EFETIVO, POIS PRECISA HAVER O CÁLCULO DOS VALORES DE CONTA VINCULADA PARA ELE. NAS LICENÇAS MENORES DE 15 DIAS NÃO HAVERÁ ALTERAÇÕES. O CÁLCULO É PARA O TITULAR</t>
  </si>
  <si>
    <t>NOS DEMITIDOS HAVERÁ O CÁLCULO DA MULTA DO FGTS E CS PROPORCIONAL AOS DIAS TRABALHADOS. 13º, FÉRIAS E ENCARGOS SERÃO CALCULADOS APENAS SE TRABALHOU + DE 15 DIAS NO MÊS.</t>
  </si>
  <si>
    <t>VALORES SÃO POR POSTO DE TRABALHO). ISSO VALE TAMBÉM PARA O CÁLCULO DO MÓDULO 4.3, 4.4, 4,5, CUSTOS INDIRETOS E LUCRO . ESTES VALORES SÃO POR POSTO DE TRABALHO</t>
  </si>
  <si>
    <t>NAS FÉRIAS  TODOS OS VALORES DE CONTA VINCULADA SÃO CALCULADOS PARA O TITULAR</t>
  </si>
  <si>
    <t>O CÁLCULO DA MULTA DE FGTS  SEMPRE SERÁ CALCULADO PROPORCIONAL AO DIAS TRABALHADOS.</t>
  </si>
  <si>
    <t>*</t>
  </si>
  <si>
    <t>FOI DEFINIDO QUE A METODOLOGIA DO CÁLCULO DE DIAS PARA VA E VT SERÁ IGUAL A "DIAS (20) MENOS DIAS ÚTEIS NÃO TRABALHADOS"</t>
  </si>
  <si>
    <t xml:space="preserve">INICIALMENTE, QUANDO HOUVER FALTAS, FÉRIAS, AFASTAMENTOS, ETC, COM SUBSTITUTO, OS DIAS TRABALHADOS PELO SUBSTITUTO PODERÃO SER LANÇADOS NO TITULAR. </t>
  </si>
  <si>
    <t>COM RELAÇÃO AO VALE TRANSPORTE, O DESCONTO DE 6% TERÁ SEMPRE DE SER PROPORCIONALIZADO PELOS DIAS TRABALHADOS NO MÊS (ISSO PARA O TITULAR E O SUBSTITUTO, SE HOUVER)</t>
  </si>
  <si>
    <t>COM RELAÇÃO AO VALE TRANSPORTE, NAS FÉRIAS E FALTAS COM SUBSTITUTO, A REGRA É SEGUIR O TITULAR. SE ELE RECEBE O SUBSTITUTO RECEBE. SE NÃO RECEBE, O SUBSTITUTO NÃO RECEBE.</t>
  </si>
  <si>
    <t>COM RELAÇÃO AO VALE TRANSPORTE, NAS LICENÇAS MATERNIDADE OU INSS E NAS DEMISSÕES,  A REGRA É SEGUIR O SUBSTITUTO OU NOVO CONTRATADO.</t>
  </si>
  <si>
    <t>COM RELAÇÃO AO VALE TRANSPORTE, NO MÊS DA DEMISSÃO COM NOVO CONTRATADO,  SÓ PODE HAVER UM DESCONTO DE R$ 1,00  (POR DEFINIÇÃO SERÁ O DEMITIDO) POR POSTO DE TRABALHO.</t>
  </si>
  <si>
    <t>COM RELAÇÃO AO VALE ALIMENTAÇÃO, OS VALORES DE CESTA BÁSICA SERÃO PROPORCIONALIZADOS. UTILIZAR O MESMO CRITÉRIO DOS TICKETS, OU SEJA, 20 DIAS MENOS DIAS ÚTEIS NÃO TRABALHADOS</t>
  </si>
  <si>
    <t>OCORRÊNCIA</t>
  </si>
  <si>
    <r>
      <rPr>
        <b/>
        <sz val="11"/>
        <color indexed="10"/>
        <rFont val="Calibri"/>
        <family val="2"/>
      </rPr>
      <t>"COM"</t>
    </r>
    <r>
      <rPr>
        <b/>
        <sz val="11"/>
        <color indexed="8"/>
        <rFont val="Calibri"/>
        <family val="2"/>
      </rPr>
      <t xml:space="preserve"> SUBSTITUIÇÃO NO MÊS</t>
    </r>
  </si>
  <si>
    <r>
      <rPr>
        <b/>
        <sz val="11"/>
        <color indexed="10"/>
        <rFont val="Calibri"/>
        <family val="2"/>
      </rPr>
      <t>"SEM"</t>
    </r>
    <r>
      <rPr>
        <b/>
        <sz val="11"/>
        <color indexed="8"/>
        <rFont val="Calibri"/>
        <family val="2"/>
      </rPr>
      <t xml:space="preserve"> SUBSTITUIÇÃO NO MÊS</t>
    </r>
  </si>
  <si>
    <t>TIPO DE AFASTAMENTO</t>
  </si>
  <si>
    <t>TITULAR</t>
  </si>
  <si>
    <t>SUBSTITUTO</t>
  </si>
  <si>
    <t>LICENÇA MATERNIDADE</t>
  </si>
  <si>
    <t>-</t>
  </si>
  <si>
    <t>não tem</t>
  </si>
  <si>
    <t>LICENÇA INSS</t>
  </si>
  <si>
    <t xml:space="preserve">Afastado </t>
  </si>
  <si>
    <t xml:space="preserve">Efetivo </t>
  </si>
  <si>
    <t>TANTO O LUCRO COMO OS CUSTOS INDIRETOS SERÃO CALCULADOS POR POSTO DE TRABALHO, OU SEJA, NÃO SÃO PROPORCIONALIZADOS</t>
  </si>
  <si>
    <t>BARBARA CAROLINE LANA E OLIVEIRA</t>
  </si>
  <si>
    <t>GLAUCIA APARECIDA FONSECA SILVA</t>
  </si>
  <si>
    <t>JACSON COSTA NEVES</t>
  </si>
  <si>
    <t>JESAINE ANTONIA CITADINO</t>
  </si>
  <si>
    <t>JOANA D ARC DE ANDRADE</t>
  </si>
  <si>
    <t>LUCAS FERREIRA DAHORA</t>
  </si>
  <si>
    <t>MATHEUS MARLON PINTO DOS SANTOS</t>
  </si>
  <si>
    <t>NASSOM FERNANDES DE ASSIS</t>
  </si>
  <si>
    <t>NIDIANE DIAS DA SILVA</t>
  </si>
  <si>
    <t>VANUSA VIEIRA</t>
  </si>
  <si>
    <t>WANDERLEY GOMES</t>
  </si>
  <si>
    <t>WELLINGTON RODRIGUES BREY GILL</t>
  </si>
  <si>
    <t>EDSON DE ARAUJO.</t>
  </si>
  <si>
    <t>ALEX BORGES DOS SANTOS.</t>
  </si>
  <si>
    <t>ALEX BORGES DOS SANTOS..</t>
  </si>
  <si>
    <t>ANDRE LUIZ DE SOUZA ALKMIM.</t>
  </si>
  <si>
    <t>AURENICE OLIVEIRA SANTOS.</t>
  </si>
  <si>
    <t>CRISTIANE DE CASSIA SILVA.</t>
  </si>
  <si>
    <t>CRISTIANE ROSA LOURENCO.</t>
  </si>
  <si>
    <t>DECIO LOURENCO FERREIRA.</t>
  </si>
  <si>
    <t>ELIVELTON FERREIRA CONSTANCIO.</t>
  </si>
  <si>
    <t>FRANK CERQUEIRA SANTOS.</t>
  </si>
  <si>
    <t>GISELLE GOMES LOURENCO.</t>
  </si>
  <si>
    <t>GISLENE FERNANDES JESUS DE OLIVEIRA.</t>
  </si>
  <si>
    <t>ISABEL CRISTINA DOS SANTOS MONTEIRO.</t>
  </si>
  <si>
    <t>JEFFERSON MAIA GONCALVES.</t>
  </si>
  <si>
    <t>JESSICA FABIANA ROCHA EVANGELISTA.</t>
  </si>
  <si>
    <t>JUSSARA PAIXAO BATISTA.</t>
  </si>
  <si>
    <t>LAIZ SILVA RODRIGUES.</t>
  </si>
  <si>
    <t>LUIZ CLAUDIO DA SILVA.</t>
  </si>
  <si>
    <t>LUIZ GUSTAVO CASTRO PORTELA.</t>
  </si>
  <si>
    <t>MARCELO COSTA SILVA.</t>
  </si>
  <si>
    <t>MARCELO RODRIGUES ANIBAL.</t>
  </si>
  <si>
    <t>MARCIO DE OLIVEIRA PRATES.</t>
  </si>
  <si>
    <t>MARCOS VINICIUS FARIAS DOURADO.</t>
  </si>
  <si>
    <t>MARISA DOS ANJOS SEVERINO.</t>
  </si>
  <si>
    <t>NASSOM FERNANDES DE ASSIS.</t>
  </si>
  <si>
    <t>PAULO ALEXANDRE VIEIRA.</t>
  </si>
  <si>
    <t>PAULO ROBERTO RODRIGUES DE SOUSA.</t>
  </si>
  <si>
    <t>PEDRO ALVES DE FREITAS.</t>
  </si>
  <si>
    <t>RONAN EUSTAQUIO DOS SANTOS.</t>
  </si>
  <si>
    <t>THIAGO LUIZ ZACARIAS DOS ANJOS.</t>
  </si>
  <si>
    <t>NAASSOM FERNANDES DE ASSIS</t>
  </si>
  <si>
    <t>Valor</t>
  </si>
  <si>
    <t>SIM</t>
  </si>
  <si>
    <t>NÃO</t>
  </si>
  <si>
    <t>XXXXXX</t>
  </si>
  <si>
    <t>Araguari</t>
  </si>
  <si>
    <t>Caeté</t>
  </si>
  <si>
    <t>Campo Belo</t>
  </si>
  <si>
    <t>Formiga</t>
  </si>
  <si>
    <t>Igarapé</t>
  </si>
  <si>
    <t>Ipatinga</t>
  </si>
  <si>
    <t>Matozinhos</t>
  </si>
  <si>
    <t>Monte Carmelo</t>
  </si>
  <si>
    <t>Porteirinha</t>
  </si>
  <si>
    <t>Ribeirão das Neves</t>
  </si>
  <si>
    <t>São João Del Rei</t>
  </si>
  <si>
    <t>São Lourenço</t>
  </si>
  <si>
    <t>São Sebastião do Paraíso</t>
  </si>
  <si>
    <t>Uberlândia</t>
  </si>
  <si>
    <t>Varginha</t>
  </si>
  <si>
    <t>Viçosa</t>
  </si>
  <si>
    <t>VIGILANTE ARMADO - 12X36 DIURNO</t>
  </si>
  <si>
    <t>VIGILANTE ARMADO - 220 H</t>
  </si>
  <si>
    <t>VIGILANTE ARMADO - 12X36 NOTURNO</t>
  </si>
  <si>
    <t>Adicional de Insalubridade</t>
  </si>
  <si>
    <t>Adicional de Periculosidade</t>
  </si>
  <si>
    <t>Adicional Noturno</t>
  </si>
  <si>
    <t>Hora Noturna Adicional</t>
  </si>
  <si>
    <t>Adicional de Hora Extra</t>
  </si>
  <si>
    <t>Intervalo Intrajornada</t>
  </si>
  <si>
    <t>Feriado Nacional - Súmula 444/2012 - TST e Dia do Vigilante</t>
  </si>
  <si>
    <t>Auxílio Alimentação (Cesta Básica)</t>
  </si>
  <si>
    <t>Aux. Saúde</t>
  </si>
  <si>
    <t>Despesa de Viagem</t>
  </si>
  <si>
    <t>Uniformes e EPIs</t>
  </si>
  <si>
    <t>Materiais de Consumo</t>
  </si>
  <si>
    <t>Máquinas e Equipamentos (depreciação)</t>
  </si>
  <si>
    <t xml:space="preserve">Produtos de Limpeza </t>
  </si>
  <si>
    <t>ISS</t>
  </si>
  <si>
    <t>Sindesp - MG</t>
  </si>
  <si>
    <t>Aracuai</t>
  </si>
  <si>
    <t>CARGOS</t>
  </si>
  <si>
    <t>LOCALIDADE/CARGO</t>
  </si>
  <si>
    <t>QUANTIDADE</t>
  </si>
  <si>
    <t>SALÁRIO BASE</t>
  </si>
  <si>
    <t>Auxílio Alimentação</t>
  </si>
  <si>
    <t>Aux. Transporte</t>
  </si>
  <si>
    <t>SETEMBRO.16</t>
  </si>
  <si>
    <t>01/01/2016</t>
  </si>
  <si>
    <t>10/09/2016</t>
  </si>
  <si>
    <t>30/09/2016</t>
  </si>
  <si>
    <t>TOTAL ARACUAI</t>
  </si>
  <si>
    <t>TOTAL ARAGUARI</t>
  </si>
  <si>
    <t>TOTAL BARBACENA</t>
  </si>
  <si>
    <t>XX/2014</t>
  </si>
  <si>
    <t>01/01/2014</t>
  </si>
  <si>
    <t>01/01/2015</t>
  </si>
  <si>
    <t>07/02/2015</t>
  </si>
  <si>
    <t>TOTAL BELO HORIZONTE</t>
  </si>
  <si>
    <t>TOTAL BETIM</t>
  </si>
  <si>
    <t>TOTAL CAETÉ</t>
  </si>
  <si>
    <t>TOTAL CAMPO BELO</t>
  </si>
  <si>
    <t>TOTAL CONSELHEIRO LAFAIETE</t>
  </si>
  <si>
    <t>TOTAL CONTAGEM</t>
  </si>
  <si>
    <t>TOTAL FORMIGA</t>
  </si>
  <si>
    <t>TOTAL GOVERNADOR VALADARES</t>
  </si>
  <si>
    <t>TOTAL IGARAPÉ</t>
  </si>
  <si>
    <t>TOTAL IPATINGA</t>
  </si>
  <si>
    <t>TOTAL ITUIUTABA</t>
  </si>
  <si>
    <t>TOTAL LAVRAS</t>
  </si>
  <si>
    <t>TOTAL MATOZINHOS</t>
  </si>
  <si>
    <t>TOTAL MONTE CARMELO</t>
  </si>
  <si>
    <t>TOTAL MONTES CLAROS</t>
  </si>
  <si>
    <t>TOTAL NOVA LIMA</t>
  </si>
  <si>
    <t>TOTAL PORTEIRINHA</t>
  </si>
  <si>
    <t>TOTAL POUSO ALEGRE</t>
  </si>
  <si>
    <t>TOTAL RIBEIRÃO DAS NEVES</t>
  </si>
  <si>
    <t>TOTAL SANTA LUZIA</t>
  </si>
  <si>
    <t>TOTAL SÃO JOÃO DEL REI</t>
  </si>
  <si>
    <t>TOTAL SÃO LOURENÇO</t>
  </si>
  <si>
    <t>TOTAL SÃO SEBASTIÃO DO PARAÍSO</t>
  </si>
  <si>
    <t>TOTAL SETE LAGOAS</t>
  </si>
  <si>
    <t>TOTAL UBERABA</t>
  </si>
  <si>
    <t>TOTAL UBERLÂNDIA</t>
  </si>
  <si>
    <t>TOTAL VARGINHA</t>
  </si>
  <si>
    <t>TOTAL VESPASIANO</t>
  </si>
  <si>
    <t>TOTAL VIÇOSA</t>
  </si>
  <si>
    <t>DEMITIDO</t>
  </si>
  <si>
    <t>ADMITIDO</t>
  </si>
  <si>
    <t>AFASTADO</t>
  </si>
  <si>
    <t>05/06/2016</t>
  </si>
  <si>
    <t>02/09/2016</t>
  </si>
  <si>
    <t>Substituto INSS</t>
  </si>
  <si>
    <t>AFASTAMENTO INSS A PARTIR DE 05/06/2016</t>
  </si>
  <si>
    <t>LICENÇA MATERNIDADE A PARTIR DE 02/09/2016</t>
  </si>
  <si>
    <t xml:space="preserve">SUBSTITUTA DE LICENÇA MATERNIDADE </t>
  </si>
  <si>
    <t>11/09/2016</t>
  </si>
  <si>
    <t>admissão em 11/09/2016</t>
  </si>
  <si>
    <t>Demissão em 10/09/2016</t>
  </si>
  <si>
    <t>20/09/2016</t>
  </si>
  <si>
    <t>ADMISSÃO EM 20/09/2016 - ACRÉSCIMO DE QUADRO</t>
  </si>
  <si>
    <t>20/08/2016</t>
  </si>
  <si>
    <t>SUBSTITUTO DE FÉRIAS DO BELTRANO 12429 DE 10/09/2016 A 30/09/2016</t>
  </si>
  <si>
    <t>09/09/2016</t>
  </si>
  <si>
    <t>10/08/2016</t>
  </si>
  <si>
    <t>BELTRANO 12341</t>
  </si>
  <si>
    <t>BELTRANO 12342</t>
  </si>
  <si>
    <t>BELTRANO 12343</t>
  </si>
  <si>
    <t>BELTRANO 12344</t>
  </si>
  <si>
    <t>BELTRANO 12345</t>
  </si>
  <si>
    <t>BELTRANO 12346</t>
  </si>
  <si>
    <t>BELTRANO 12347</t>
  </si>
  <si>
    <t>BELTRANO 12348</t>
  </si>
  <si>
    <t>BELTRANO 124215</t>
  </si>
  <si>
    <t>BELTRANO 12349</t>
  </si>
  <si>
    <t>BELTRANO 12350</t>
  </si>
  <si>
    <t>BELTRANO 12351</t>
  </si>
  <si>
    <t>BELTRANO 12352</t>
  </si>
  <si>
    <t>BELTRANO 124280</t>
  </si>
  <si>
    <t>BELTRANO 12353</t>
  </si>
  <si>
    <t>BELTRANO 12354</t>
  </si>
  <si>
    <t>BELTRANO 12355</t>
  </si>
  <si>
    <t>BELTRANO 12356</t>
  </si>
  <si>
    <t>BELTRANO 12357</t>
  </si>
  <si>
    <t>BELTRANO 12358</t>
  </si>
  <si>
    <t>BELTRANO 12359</t>
  </si>
  <si>
    <t>BELTRANO 12360</t>
  </si>
  <si>
    <t>BELTRANO 12361</t>
  </si>
  <si>
    <t>BELTRANO 12362</t>
  </si>
  <si>
    <t>BELTRANO 12363</t>
  </si>
  <si>
    <t>BELTRANO 12364</t>
  </si>
  <si>
    <t>BELTRANO 12365</t>
  </si>
  <si>
    <t>BELTRANO 12366</t>
  </si>
  <si>
    <t>BELTRANO 12367</t>
  </si>
  <si>
    <t>BELTRANO 12368</t>
  </si>
  <si>
    <t>BELTRANO 12369</t>
  </si>
  <si>
    <t>BELTRANO 124226</t>
  </si>
  <si>
    <t>BELTRANO 12370</t>
  </si>
  <si>
    <t>BELTRANO 12371</t>
  </si>
  <si>
    <t>BELTRANO 12372</t>
  </si>
  <si>
    <t>BELTRANO 12373</t>
  </si>
  <si>
    <t>BELTRANO 12374</t>
  </si>
  <si>
    <t>BELTRANO 12375</t>
  </si>
  <si>
    <t>BELTRANO 12376</t>
  </si>
  <si>
    <t>BELTRANO 12377</t>
  </si>
  <si>
    <t>BELTRANO 124256</t>
  </si>
  <si>
    <t>BELTRANO 12378</t>
  </si>
  <si>
    <t>BELTRANO 12379</t>
  </si>
  <si>
    <t>BELTRANO 12380</t>
  </si>
  <si>
    <t>BELTRANO 12381</t>
  </si>
  <si>
    <t>BELTRANO 12383</t>
  </si>
  <si>
    <t>BELTRANO 12384</t>
  </si>
  <si>
    <t>BELTRANO 12385</t>
  </si>
  <si>
    <t>BELTRANO 12386</t>
  </si>
  <si>
    <t>BELTRANO 12387</t>
  </si>
  <si>
    <t>BELTRANO 12388</t>
  </si>
  <si>
    <t>BELTRANO 12389</t>
  </si>
  <si>
    <t>BELTRANO 12390</t>
  </si>
  <si>
    <t>BELTRANO 12391</t>
  </si>
  <si>
    <t>BELTRANO 12392</t>
  </si>
  <si>
    <t>BELTRANO 12393</t>
  </si>
  <si>
    <t>BELTRANO 12394</t>
  </si>
  <si>
    <t>BELTRANO 12395</t>
  </si>
  <si>
    <t>BELTRANO 12396</t>
  </si>
  <si>
    <t>BELTRANO 12397</t>
  </si>
  <si>
    <t>BELTRANO 12398</t>
  </si>
  <si>
    <t>BELTRANO 12399</t>
  </si>
  <si>
    <t>BELTRANO 12400</t>
  </si>
  <si>
    <t>BELTRANO 12401</t>
  </si>
  <si>
    <t>BELTRANO 12402</t>
  </si>
  <si>
    <t>BELTRANO 12403</t>
  </si>
  <si>
    <t>BELTRANO 12404</t>
  </si>
  <si>
    <t>BELTRANO 12405</t>
  </si>
  <si>
    <t>BELTRANO 12406</t>
  </si>
  <si>
    <t>BELTRANO 12407</t>
  </si>
  <si>
    <t>BELTRANO 12408</t>
  </si>
  <si>
    <t>BELTRANO 12409</t>
  </si>
  <si>
    <t>BELTRANO 12410</t>
  </si>
  <si>
    <t>BELTRANO 12411</t>
  </si>
  <si>
    <t>BELTRANO 12412</t>
  </si>
  <si>
    <t>BELTRANO 12413</t>
  </si>
  <si>
    <t>BELTRANO 12414</t>
  </si>
  <si>
    <t>BELTRANO 12415</t>
  </si>
  <si>
    <t>BELTRANO 12416</t>
  </si>
  <si>
    <t>BELTRANO 12417</t>
  </si>
  <si>
    <t>BELTRANO 12418</t>
  </si>
  <si>
    <t>BELTRANO 12419</t>
  </si>
  <si>
    <t>BELTRANO 12420</t>
  </si>
  <si>
    <t>BELTRANO 12421</t>
  </si>
  <si>
    <t>BELTRANO 12422</t>
  </si>
  <si>
    <t>BELTRANO 12423</t>
  </si>
  <si>
    <t>BELTRANO 12424</t>
  </si>
  <si>
    <t>BELTRANO 12425</t>
  </si>
  <si>
    <t>BELTRANO 12426</t>
  </si>
  <si>
    <t>BELTRANO 12427</t>
  </si>
  <si>
    <t>BELTRANO 12428</t>
  </si>
  <si>
    <t>BELTRANO 124205</t>
  </si>
  <si>
    <t>BELTRANO 12429</t>
  </si>
  <si>
    <t>BELTRANO 12430</t>
  </si>
  <si>
    <t>BELTRANO 12431</t>
  </si>
  <si>
    <t>BELTRANO 12432</t>
  </si>
  <si>
    <t>BELTRANO 12433</t>
  </si>
  <si>
    <t>BELTRANO 12434</t>
  </si>
  <si>
    <t>BELTRANO 12435</t>
  </si>
  <si>
    <t>BELTRANO 12436</t>
  </si>
  <si>
    <t>BELTRANO 12437</t>
  </si>
  <si>
    <t>BELTRANO 12438</t>
  </si>
  <si>
    <t>BELTRANO 12439</t>
  </si>
  <si>
    <t>BELTRANO 12440</t>
  </si>
  <si>
    <t>BELTRANO 12441</t>
  </si>
  <si>
    <t>BELTRANO 12442</t>
  </si>
  <si>
    <t>BELTRANO 12443</t>
  </si>
  <si>
    <t>BELTRANO 12444</t>
  </si>
  <si>
    <t>BELTRANO 12445</t>
  </si>
  <si>
    <t>BELTRANO 1246</t>
  </si>
  <si>
    <t>BELTRANO 124205.</t>
  </si>
  <si>
    <t>SUBSTITUTO DE FÉRIAS DO BELTRANO 12428 DE 10/08/2016 A 09/09/2016</t>
  </si>
  <si>
    <t>SUBSTITUTO DE FÉRIAS DO BELTRANO 12352 DE 20/08/16 A 19/08/2016</t>
  </si>
  <si>
    <t>19/09/2016</t>
  </si>
  <si>
    <t>19/10/2016</t>
  </si>
  <si>
    <t>20/10/2016</t>
  </si>
  <si>
    <t>BELTRANO 124280.</t>
  </si>
  <si>
    <t>05/02/2015</t>
  </si>
  <si>
    <t>Atestado medico dias 13/09/2016 A 14/09/2016 sem cobertura e Atraso 4:13 dia 25/09/2016 atestado de comparecimento</t>
  </si>
  <si>
    <t>Comarca</t>
  </si>
  <si>
    <t>Vigilância(%)</t>
  </si>
  <si>
    <t>Paracatu</t>
  </si>
  <si>
    <t>BELTRANO 123166</t>
  </si>
  <si>
    <t>NO MÊS DA DEMISSÃO, O FUNCIONÁRIO CONTINUA COMO EFETIVO POIS PRECISA HAVER O CÁLCULO PROPORCIONAL AOS DIAS TRABALHADOS DAS OUTRAS VERBAS. O APONTAMENTO DA DEMISSÃO É FEITO NAS DATAS DE INÍCIO E SAÍDA DA PGJ, BEM COMO NO TIPO DE AFASTAMENTO.</t>
  </si>
  <si>
    <t>NO MÊS DA DEMISSÃO, SE HOUVER NOVO CONTRATADO, OS VALORES DE PAF, PQM, SEGURO DE VIDA E DESPESAS DE VIAGEM NÃO PODEM CONSTAR PARA O NOVO CONTRATADO, UMA VEZ QUE JÁ FORAM COBRADOS PARA O DEMITIDO. (ESTES VALORES SÃO POR POSTO DE TRABALHO). ISSO VALE TAMBÉM PARA O CÁLCULO DO MÓDULO 4.3, 4.4, 4,5, CUSTOS INDIRETOS E LUCRO . ESTES VALORES SÃO POR POSTO DE TRABALHO</t>
  </si>
  <si>
    <t>Competência da Repactuação</t>
  </si>
  <si>
    <t>JANEIRO.16</t>
  </si>
  <si>
    <t xml:space="preserve"> Instrução: A data da entrada e saída da PGJ deve ser atualizada no momento da concessão da repactuação. Inserir o valor da remuneração repactuada na coluna G. Inserir a data inicial da concessão da repactuação em D, e em E, a data final da concessão da repactuação. A qtde de dias será calculada automaticamente. Caso não queira que os dias sejam calculados automaticamente, pode-se buscar dias para finas de conta vinculada na respectiva planilha do mês de referência da repactuação. </t>
  </si>
  <si>
    <t xml:space="preserve">A coluna de "Status Atual" deve sermpre indicar se o funcionário é "EFETIVO" ou "SUBSTITUTO" (ou nomenclatura adequada). Algumas fórmlas dependerão de tal informação.
As colunas de "Data de Início na PGJ", "Data de Saída da PGJ", "Tipos de Afastamento e suas datas de início e fim" devem ser corretamente preenchidas para não haver prejuízo no cálculo dos valores de Retenção da Conta Vinculada. 
</t>
  </si>
  <si>
    <t xml:space="preserve">Os dados base para conta vinculada contém fórmulas que não deverão ser alteradas. No caso de funcionário em gozo de férias a informação deverá constar em "Tipo de Afastamento", pois as fórmulas de retenção da conta vinculada já irão reconhecer esse fato. No entanto, caso haja outro tipo qualquer de afastamento, mesmo havendo necessidade da informação estar contida em "tipo de afastamento" a análise para retenção da conta vinculada será feita individualmente e manualmente, pois cada tipo de afastamento tem sua própria peculiaridade e forma de retenção diferenciada. 
A coluna que contém Repactuação será preenchida com base na aba "Repactuação Conta Vinculada" a cada Repactuação efetuada. </t>
  </si>
  <si>
    <t xml:space="preserve">Os valores das verbas de repasse direto do "Módulo 2" devem ser retirados de bancos de dados que conterão os valores devidos. Para "Auxílio Alimentação - VA" e "Auxílio Transporte - VT" deve haver uma planilha específica (VA e VT) para o cálculo dos valores devidos à cada colaborador. Os demais dados (Seguro, PAF, PAT, PQM.) devem também estar contidos em base de dados que facilite a busca de valores. </t>
  </si>
</sst>
</file>

<file path=xl/styles.xml><?xml version="1.0" encoding="utf-8"?>
<styleSheet xmlns="http://schemas.openxmlformats.org/spreadsheetml/2006/main" xmlns:mc="http://schemas.openxmlformats.org/markup-compatibility/2006" xmlns:x14ac="http://schemas.microsoft.com/office/spreadsheetml/2009/9/ac" mc:Ignorable="x14ac">
  <numFmts count="29">
    <numFmt numFmtId="7" formatCode="&quot;R$&quot;\ #,##0.00;\-&quot;R$&quot;\ #,##0.00"/>
    <numFmt numFmtId="44" formatCode="_-&quot;R$&quot;\ * #,##0.00_-;\-&quot;R$&quot;\ * #,##0.00_-;_-&quot;R$&quot;\ * &quot;-&quot;??_-;_-@_-"/>
    <numFmt numFmtId="43" formatCode="_-* #,##0.00_-;\-* #,##0.00_-;_-* &quot;-&quot;??_-;_-@_-"/>
    <numFmt numFmtId="164" formatCode="_(&quot;R$ &quot;* #,##0.00_);_(&quot;R$ &quot;* \(#,##0.00\);_(&quot;R$ &quot;* \-??_);_(@_)"/>
    <numFmt numFmtId="165" formatCode="d\-mmm\-yy;@"/>
    <numFmt numFmtId="166" formatCode="_-&quot;R$ &quot;* #,##0.00_-;&quot;-R$ &quot;* #,##0.00_-;_-&quot;R$ &quot;* \-??_-;_-@_-"/>
    <numFmt numFmtId="167" formatCode="mmm\-yy"/>
    <numFmt numFmtId="168" formatCode="_(* #,##0.00_);_(* \(#,##0.00\);_(* \-??_);_(@_)"/>
    <numFmt numFmtId="169" formatCode="0.000%"/>
    <numFmt numFmtId="170" formatCode="_-* #,##0.00_-;\-* #,##0.00_-;_-* \-??_-;_-@_-"/>
    <numFmt numFmtId="171" formatCode="_(&quot;R$ &quot;* #,##0.00_);_(&quot;R$ &quot;* \(#,##0.00\);_(&quot;R$ &quot;* &quot;-&quot;??_);_(@_)"/>
    <numFmt numFmtId="172" formatCode="_(* #,##0.00_);_(* \(#,##0.00\);_(* &quot;-&quot;??_);_(@_)"/>
    <numFmt numFmtId="173" formatCode="0.00_);\(0.00\)"/>
    <numFmt numFmtId="174" formatCode="&quot;Verdadeiro&quot;;&quot;Verdadeiro&quot;;&quot;Falso&quot;"/>
    <numFmt numFmtId="175" formatCode="_(&quot;R$&quot;* #,##0.00_);_(&quot;R$&quot;* \(#,##0.00\);_(&quot;R$&quot;* &quot;-&quot;??_);_(@_)"/>
    <numFmt numFmtId="176" formatCode="_(* #,##0.0000_);_(* \(#,##0.0000\);_(* &quot;-&quot;????_);_(@_)"/>
    <numFmt numFmtId="177" formatCode="0.0000%"/>
    <numFmt numFmtId="178" formatCode="mm/yyyy"/>
    <numFmt numFmtId="179" formatCode="&quot;R$&quot;\ #,##0.00"/>
    <numFmt numFmtId="180" formatCode="_(* #,##0_);_(* \(#,##0\);_(* &quot;-&quot;??_);_(@_)"/>
    <numFmt numFmtId="181" formatCode="&quot;R$ &quot;#,##0.00_);\(&quot;R$ &quot;#,##0.00\)"/>
    <numFmt numFmtId="182" formatCode="&quot;R$ &quot;#,##0.00"/>
    <numFmt numFmtId="183" formatCode="000"/>
    <numFmt numFmtId="184" formatCode="_-* #,##0.0000_-;\-* #,##0.0000_-;_-* \-??_-;_-@_-"/>
    <numFmt numFmtId="185" formatCode="0.00000"/>
    <numFmt numFmtId="186" formatCode="&quot;Sim&quot;;&quot;Sim&quot;;&quot;Não&quot;"/>
    <numFmt numFmtId="187" formatCode="_(* #,##0_);_(* \(#,##0\);_(* &quot;-&quot;_);_(@_)"/>
    <numFmt numFmtId="188" formatCode="&quot;R$ &quot;#,##0_);[Red]\(&quot;R$ &quot;#,##0\)"/>
    <numFmt numFmtId="189" formatCode="_-* #,##0.00000_-;\-* #,##0.00000_-;_-* \-??_-;_-@_-"/>
  </numFmts>
  <fonts count="70">
    <font>
      <sz val="10"/>
      <name val="Arial"/>
      <family val="2"/>
    </font>
    <font>
      <sz val="11"/>
      <color indexed="8"/>
      <name val="Calibri"/>
      <family val="2"/>
    </font>
    <font>
      <sz val="11"/>
      <color indexed="8"/>
      <name val="Calibri"/>
      <family val="2"/>
    </font>
    <font>
      <b/>
      <sz val="18"/>
      <color indexed="56"/>
      <name val="Cambria"/>
      <family val="2"/>
    </font>
    <font>
      <b/>
      <sz val="15"/>
      <color indexed="56"/>
      <name val="Calibri"/>
      <family val="2"/>
    </font>
    <font>
      <sz val="10"/>
      <name val="Arial"/>
      <family val="2"/>
    </font>
    <font>
      <sz val="10"/>
      <name val="MS Sans Serif"/>
      <family val="2"/>
    </font>
    <font>
      <sz val="12"/>
      <name val="Tahoma"/>
      <family val="2"/>
    </font>
    <font>
      <sz val="10"/>
      <color indexed="8"/>
      <name val="MS Sans Serif"/>
      <family val="2"/>
    </font>
    <font>
      <b/>
      <sz val="10"/>
      <name val="Arial"/>
      <family val="2"/>
    </font>
    <font>
      <sz val="12"/>
      <name val="Arial"/>
      <family val="2"/>
    </font>
    <font>
      <b/>
      <sz val="12"/>
      <name val="Arial"/>
      <family val="2"/>
    </font>
    <font>
      <sz val="9"/>
      <name val="Arial"/>
      <family val="2"/>
    </font>
    <font>
      <sz val="15"/>
      <name val="Arial"/>
      <family val="2"/>
    </font>
    <font>
      <b/>
      <sz val="13"/>
      <name val="Arial"/>
      <family val="2"/>
    </font>
    <font>
      <sz val="13"/>
      <name val="Arial"/>
      <family val="2"/>
    </font>
    <font>
      <u/>
      <sz val="10"/>
      <color indexed="12"/>
      <name val="Arial"/>
      <family val="2"/>
    </font>
    <font>
      <sz val="11"/>
      <color indexed="8"/>
      <name val="Batang"/>
      <family val="1"/>
    </font>
    <font>
      <sz val="10"/>
      <color indexed="8"/>
      <name val="Batang"/>
      <family val="1"/>
    </font>
    <font>
      <sz val="10"/>
      <name val="Batang"/>
      <family val="1"/>
    </font>
    <font>
      <b/>
      <sz val="8"/>
      <name val="Arial"/>
      <family val="2"/>
    </font>
    <font>
      <sz val="8"/>
      <color indexed="8"/>
      <name val="Arial"/>
      <family val="2"/>
    </font>
    <font>
      <sz val="8"/>
      <name val="Arial"/>
      <family val="2"/>
    </font>
    <font>
      <sz val="11"/>
      <color indexed="9"/>
      <name val="Calibri"/>
      <family val="2"/>
    </font>
    <font>
      <sz val="11"/>
      <color indexed="17"/>
      <name val="Calibri"/>
      <family val="2"/>
    </font>
    <font>
      <b/>
      <sz val="11"/>
      <color indexed="52"/>
      <name val="Calibri"/>
      <family val="2"/>
    </font>
    <font>
      <sz val="9"/>
      <color indexed="10"/>
      <name val="Geneva"/>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3"/>
      <color indexed="56"/>
      <name val="Calibri"/>
      <family val="2"/>
    </font>
    <font>
      <b/>
      <sz val="11"/>
      <color indexed="56"/>
      <name val="Calibri"/>
      <family val="2"/>
    </font>
    <font>
      <b/>
      <sz val="11"/>
      <color indexed="8"/>
      <name val="Calibri"/>
      <family val="2"/>
    </font>
    <font>
      <b/>
      <sz val="14"/>
      <name val="Arial"/>
      <family val="2"/>
    </font>
    <font>
      <b/>
      <sz val="10"/>
      <name val="Tahoma"/>
      <family val="2"/>
    </font>
    <font>
      <sz val="10"/>
      <name val="Tahoma"/>
      <family val="2"/>
    </font>
    <font>
      <b/>
      <sz val="10"/>
      <color indexed="12"/>
      <name val="Tahoma"/>
      <family val="2"/>
    </font>
    <font>
      <b/>
      <sz val="16"/>
      <name val="Arial"/>
      <family val="2"/>
    </font>
    <font>
      <b/>
      <sz val="11"/>
      <color indexed="10"/>
      <name val="Calibri"/>
      <family val="2"/>
    </font>
    <font>
      <b/>
      <sz val="9"/>
      <color indexed="10"/>
      <name val="Segoe UI"/>
      <family val="2"/>
    </font>
    <font>
      <b/>
      <sz val="9"/>
      <name val="Arial"/>
      <family val="2"/>
    </font>
    <font>
      <sz val="11"/>
      <color theme="1"/>
      <name val="Calibri"/>
      <family val="2"/>
      <scheme val="minor"/>
    </font>
    <font>
      <sz val="11"/>
      <color rgb="FFFF0000"/>
      <name val="Calibri"/>
      <family val="2"/>
      <scheme val="minor"/>
    </font>
    <font>
      <b/>
      <sz val="11"/>
      <color theme="1"/>
      <name val="Calibri"/>
      <family val="2"/>
      <scheme val="minor"/>
    </font>
    <font>
      <b/>
      <sz val="9"/>
      <color theme="0"/>
      <name val="Calibri"/>
      <family val="2"/>
      <scheme val="minor"/>
    </font>
    <font>
      <sz val="9"/>
      <color rgb="FF080000"/>
      <name val="Calibri"/>
      <family val="2"/>
      <scheme val="minor"/>
    </font>
    <font>
      <sz val="9"/>
      <name val="Calibri"/>
      <family val="2"/>
      <scheme val="minor"/>
    </font>
    <font>
      <sz val="9"/>
      <color indexed="8"/>
      <name val="Calibri"/>
      <family val="2"/>
      <scheme val="minor"/>
    </font>
    <font>
      <sz val="9"/>
      <color indexed="12"/>
      <name val="Calibri"/>
      <family val="2"/>
      <scheme val="minor"/>
    </font>
    <font>
      <b/>
      <sz val="9"/>
      <name val="Calibri"/>
      <family val="2"/>
      <scheme val="minor"/>
    </font>
    <font>
      <b/>
      <sz val="10"/>
      <color theme="0"/>
      <name val="Calibri"/>
      <family val="2"/>
      <scheme val="minor"/>
    </font>
    <font>
      <b/>
      <sz val="9"/>
      <color rgb="FF080000"/>
      <name val="Calibri"/>
      <family val="2"/>
      <scheme val="minor"/>
    </font>
    <font>
      <sz val="10"/>
      <color theme="0"/>
      <name val="Arial"/>
      <family val="2"/>
    </font>
    <font>
      <b/>
      <sz val="10"/>
      <name val="Calibri"/>
      <family val="2"/>
      <scheme val="minor"/>
    </font>
    <font>
      <b/>
      <sz val="9"/>
      <color indexed="8"/>
      <name val="Calibri"/>
      <family val="2"/>
      <scheme val="minor"/>
    </font>
    <font>
      <b/>
      <sz val="9"/>
      <color indexed="9"/>
      <name val="Calibri"/>
      <family val="2"/>
      <scheme val="minor"/>
    </font>
    <font>
      <b/>
      <sz val="9"/>
      <color rgb="FFFF0000"/>
      <name val="Calibri"/>
      <family val="2"/>
      <scheme val="minor"/>
    </font>
    <font>
      <sz val="11"/>
      <color rgb="FF0000FF"/>
      <name val="Calibri"/>
      <family val="2"/>
      <scheme val="minor"/>
    </font>
    <font>
      <sz val="8"/>
      <color rgb="FF080000"/>
      <name val="Calibri"/>
      <family val="2"/>
      <scheme val="minor"/>
    </font>
    <font>
      <sz val="9"/>
      <color rgb="FFFF0000"/>
      <name val="Calibri"/>
      <family val="2"/>
      <scheme val="minor"/>
    </font>
    <font>
      <sz val="10"/>
      <name val="Calibri"/>
      <family val="2"/>
      <scheme val="minor"/>
    </font>
    <font>
      <sz val="9"/>
      <color rgb="FFFF0000"/>
      <name val="Arial"/>
      <family val="2"/>
    </font>
    <font>
      <b/>
      <sz val="10"/>
      <color indexed="9"/>
      <name val="Calibri"/>
      <family val="2"/>
      <scheme val="minor"/>
    </font>
    <font>
      <sz val="9"/>
      <color indexed="81"/>
      <name val="Segoe UI"/>
      <family val="2"/>
    </font>
    <font>
      <b/>
      <sz val="9"/>
      <color indexed="81"/>
      <name val="Segoe UI"/>
      <family val="2"/>
    </font>
  </fonts>
  <fills count="6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42"/>
        <bgColor indexed="64"/>
      </patternFill>
    </fill>
    <fill>
      <patternFill patternType="solid">
        <fgColor indexed="31"/>
        <bgColor indexed="64"/>
      </patternFill>
    </fill>
    <fill>
      <patternFill patternType="solid">
        <fgColor indexed="9"/>
        <bgColor indexed="64"/>
      </patternFill>
    </fill>
    <fill>
      <patternFill patternType="solid">
        <fgColor indexed="22"/>
        <bgColor indexed="64"/>
      </patternFill>
    </fill>
    <fill>
      <patternFill patternType="solid">
        <fgColor theme="3"/>
        <bgColor indexed="64"/>
      </patternFill>
    </fill>
    <fill>
      <patternFill patternType="solid">
        <fgColor theme="6" tint="0.79998168889431442"/>
        <bgColor indexed="64"/>
      </patternFill>
    </fill>
    <fill>
      <patternFill patternType="solid">
        <fgColor rgb="FFFF000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4"/>
        <bgColor indexed="64"/>
      </patternFill>
    </fill>
    <fill>
      <patternFill patternType="solid">
        <fgColor theme="6"/>
        <bgColor indexed="64"/>
      </patternFill>
    </fill>
    <fill>
      <patternFill patternType="solid">
        <fgColor theme="0"/>
        <bgColor indexed="64"/>
      </patternFill>
    </fill>
    <fill>
      <patternFill patternType="solid">
        <fgColor rgb="FF92D050"/>
        <bgColor indexed="64"/>
      </patternFill>
    </fill>
    <fill>
      <patternFill patternType="solid">
        <fgColor rgb="FFFFFF99"/>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3" tint="0.59999389629810485"/>
        <bgColor indexed="64"/>
      </patternFill>
    </fill>
    <fill>
      <patternFill patternType="solid">
        <fgColor theme="3" tint="0.59999389629810485"/>
        <bgColor indexed="46"/>
      </patternFill>
    </fill>
    <fill>
      <patternFill patternType="solid">
        <fgColor theme="6" tint="0.59999389629810485"/>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theme="8" tint="0.39997558519241921"/>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theme="8" tint="0.79998168889431442"/>
        <bgColor indexed="64"/>
      </patternFill>
    </fill>
    <fill>
      <patternFill patternType="solid">
        <fgColor rgb="FFF47CEB"/>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0" tint="-0.34998626667073579"/>
        <bgColor indexed="64"/>
      </patternFill>
    </fill>
    <fill>
      <patternFill patternType="solid">
        <fgColor theme="9" tint="0.39997558519241921"/>
        <bgColor indexed="64"/>
      </patternFill>
    </fill>
    <fill>
      <patternFill patternType="solid">
        <fgColor theme="2" tint="-0.249977111117893"/>
        <bgColor indexed="64"/>
      </patternFill>
    </fill>
    <fill>
      <patternFill patternType="solid">
        <fgColor theme="9" tint="0.59999389629810485"/>
        <bgColor indexed="64"/>
      </patternFill>
    </fill>
    <fill>
      <patternFill patternType="solid">
        <fgColor rgb="FFFFC000"/>
        <bgColor indexed="64"/>
      </patternFill>
    </fill>
    <fill>
      <patternFill patternType="solid">
        <fgColor theme="3" tint="0.79998168889431442"/>
        <bgColor indexed="64"/>
      </patternFill>
    </fill>
  </fills>
  <borders count="9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medium">
        <color indexed="62"/>
      </bottom>
      <diagonal/>
    </border>
    <border>
      <left/>
      <right/>
      <top/>
      <bottom style="thin">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right/>
      <top style="hair">
        <color indexed="64"/>
      </top>
      <bottom/>
      <diagonal/>
    </border>
    <border>
      <left style="medium">
        <color indexed="64"/>
      </left>
      <right/>
      <top style="hair">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medium">
        <color indexed="8"/>
      </left>
      <right style="medium">
        <color indexed="8"/>
      </right>
      <top style="medium">
        <color indexed="8"/>
      </top>
      <bottom style="medium">
        <color indexed="8"/>
      </bottom>
      <diagonal/>
    </border>
    <border>
      <left style="medium">
        <color indexed="64"/>
      </left>
      <right style="medium">
        <color indexed="64"/>
      </right>
      <top style="medium">
        <color indexed="64"/>
      </top>
      <bottom style="thin">
        <color indexed="64"/>
      </bottom>
      <diagonal/>
    </border>
    <border>
      <left style="medium">
        <color indexed="8"/>
      </left>
      <right style="medium">
        <color indexed="8"/>
      </right>
      <top style="medium">
        <color indexed="8"/>
      </top>
      <bottom/>
      <diagonal/>
    </border>
    <border>
      <left/>
      <right style="thin">
        <color indexed="64"/>
      </right>
      <top style="hair">
        <color indexed="64"/>
      </top>
      <bottom style="hair">
        <color indexed="64"/>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right style="thin">
        <color indexed="64"/>
      </right>
      <top style="hair">
        <color indexed="12"/>
      </top>
      <bottom style="hair">
        <color indexed="12"/>
      </bottom>
      <diagonal/>
    </border>
    <border>
      <left style="thin">
        <color indexed="64"/>
      </left>
      <right style="thin">
        <color indexed="64"/>
      </right>
      <top style="thin">
        <color indexed="64"/>
      </top>
      <bottom style="hair">
        <color indexed="12"/>
      </bottom>
      <diagonal/>
    </border>
    <border>
      <left style="thin">
        <color indexed="64"/>
      </left>
      <right style="thin">
        <color indexed="64"/>
      </right>
      <top style="hair">
        <color indexed="12"/>
      </top>
      <bottom style="hair">
        <color indexed="12"/>
      </bottom>
      <diagonal/>
    </border>
    <border>
      <left/>
      <right/>
      <top style="hair">
        <color indexed="12"/>
      </top>
      <bottom style="medium">
        <color indexed="64"/>
      </bottom>
      <diagonal/>
    </border>
    <border>
      <left/>
      <right/>
      <top/>
      <bottom style="hair">
        <color indexed="12"/>
      </bottom>
      <diagonal/>
    </border>
    <border>
      <left/>
      <right/>
      <top style="hair">
        <color indexed="12"/>
      </top>
      <bottom style="hair">
        <color indexed="12"/>
      </bottom>
      <diagonal/>
    </border>
    <border>
      <left/>
      <right/>
      <top style="hair">
        <color indexed="12"/>
      </top>
      <bottom/>
      <diagonal/>
    </border>
    <border>
      <left style="thin">
        <color indexed="64"/>
      </left>
      <right/>
      <top style="hair">
        <color indexed="12"/>
      </top>
      <bottom style="medium">
        <color indexed="64"/>
      </bottom>
      <diagonal/>
    </border>
    <border>
      <left style="thin">
        <color indexed="64"/>
      </left>
      <right style="medium">
        <color indexed="64"/>
      </right>
      <top style="thin">
        <color indexed="64"/>
      </top>
      <bottom style="hair">
        <color indexed="12"/>
      </bottom>
      <diagonal/>
    </border>
    <border>
      <left style="thin">
        <color indexed="64"/>
      </left>
      <right style="medium">
        <color indexed="64"/>
      </right>
      <top style="hair">
        <color indexed="12"/>
      </top>
      <bottom style="hair">
        <color indexed="12"/>
      </bottom>
      <diagonal/>
    </border>
    <border>
      <left style="thin">
        <color indexed="64"/>
      </left>
      <right style="medium">
        <color indexed="64"/>
      </right>
      <top style="hair">
        <color indexed="12"/>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dashed">
        <color indexed="64"/>
      </left>
      <right style="dashed">
        <color indexed="64"/>
      </right>
      <top/>
      <bottom style="thin">
        <color indexed="64"/>
      </bottom>
      <diagonal/>
    </border>
    <border>
      <left/>
      <right/>
      <top/>
      <bottom style="thin">
        <color indexed="64"/>
      </bottom>
      <diagonal/>
    </border>
    <border>
      <left style="medium">
        <color indexed="64"/>
      </left>
      <right style="medium">
        <color indexed="64"/>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8"/>
      </left>
      <right style="medium">
        <color indexed="8"/>
      </right>
      <top style="medium">
        <color indexed="64"/>
      </top>
      <bottom style="medium">
        <color indexed="8"/>
      </bottom>
      <diagonal/>
    </border>
    <border>
      <left style="medium">
        <color indexed="8"/>
      </left>
      <right/>
      <top style="medium">
        <color indexed="64"/>
      </top>
      <bottom style="medium">
        <color indexed="64"/>
      </bottom>
      <diagonal/>
    </border>
    <border>
      <left style="medium">
        <color indexed="8"/>
      </left>
      <right style="medium">
        <color indexed="64"/>
      </right>
      <top style="medium">
        <color indexed="8"/>
      </top>
      <bottom/>
      <diagonal/>
    </border>
    <border>
      <left style="medium">
        <color indexed="8"/>
      </left>
      <right style="medium">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360">
    <xf numFmtId="0" fontId="0" fillId="0" borderId="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5" fillId="16" borderId="1" applyNumberFormat="0" applyAlignment="0" applyProtection="0"/>
    <xf numFmtId="0" fontId="25" fillId="16" borderId="1" applyNumberFormat="0" applyAlignment="0" applyProtection="0"/>
    <xf numFmtId="0" fontId="26" fillId="0" borderId="0"/>
    <xf numFmtId="0" fontId="27" fillId="17" borderId="2" applyNumberFormat="0" applyAlignment="0" applyProtection="0"/>
    <xf numFmtId="0" fontId="27" fillId="17" borderId="2" applyNumberFormat="0" applyAlignment="0" applyProtection="0"/>
    <xf numFmtId="0" fontId="28" fillId="0" borderId="3" applyNumberFormat="0" applyFill="0" applyAlignment="0" applyProtection="0"/>
    <xf numFmtId="0" fontId="28" fillId="0" borderId="3" applyNumberFormat="0" applyFill="0" applyAlignment="0" applyProtection="0"/>
    <xf numFmtId="0" fontId="23" fillId="18"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23" fillId="20"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21" borderId="0" applyNumberFormat="0" applyBorder="0" applyAlignment="0" applyProtection="0"/>
    <xf numFmtId="0" fontId="23" fillId="21" borderId="0" applyNumberFormat="0" applyBorder="0" applyAlignment="0" applyProtection="0"/>
    <xf numFmtId="0" fontId="29" fillId="7" borderId="1" applyNumberFormat="0" applyAlignment="0" applyProtection="0"/>
    <xf numFmtId="0" fontId="29" fillId="7" borderId="1" applyNumberFormat="0" applyAlignment="0" applyProtection="0"/>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30" fillId="3" borderId="0" applyNumberFormat="0" applyBorder="0" applyAlignment="0" applyProtection="0"/>
    <xf numFmtId="0" fontId="30" fillId="3" borderId="0" applyNumberFormat="0" applyBorder="0" applyAlignment="0" applyProtection="0"/>
    <xf numFmtId="164" fontId="5" fillId="0" borderId="0" applyFill="0" applyBorder="0" applyAlignment="0" applyProtection="0"/>
    <xf numFmtId="164" fontId="5" fillId="0" borderId="0" applyFill="0" applyBorder="0" applyAlignment="0" applyProtection="0"/>
    <xf numFmtId="175" fontId="5" fillId="0" borderId="0" applyFont="0" applyFill="0" applyBorder="0" applyAlignment="0" applyProtection="0"/>
    <xf numFmtId="44" fontId="1" fillId="0" borderId="0" applyFont="0" applyFill="0" applyBorder="0" applyAlignment="0" applyProtection="0"/>
    <xf numFmtId="175" fontId="5" fillId="0" borderId="0" applyFont="0" applyFill="0" applyBorder="0" applyAlignment="0" applyProtection="0"/>
    <xf numFmtId="175" fontId="5" fillId="0" borderId="0" applyFont="0" applyFill="0" applyBorder="0" applyAlignment="0" applyProtection="0"/>
    <xf numFmtId="44" fontId="46" fillId="0" borderId="0" applyFont="0" applyFill="0" applyBorder="0" applyAlignment="0" applyProtection="0"/>
    <xf numFmtId="175" fontId="5" fillId="0" borderId="0" applyFont="0" applyFill="0" applyBorder="0" applyAlignment="0" applyProtection="0"/>
    <xf numFmtId="44" fontId="1" fillId="0" borderId="0" applyFont="0" applyFill="0" applyBorder="0" applyAlignment="0" applyProtection="0"/>
    <xf numFmtId="165" fontId="5" fillId="0" borderId="0" applyFill="0" applyBorder="0" applyAlignment="0" applyProtection="0"/>
    <xf numFmtId="166" fontId="5" fillId="0" borderId="0" applyFill="0" applyBorder="0" applyAlignment="0" applyProtection="0"/>
    <xf numFmtId="0" fontId="5" fillId="0" borderId="0" applyFont="0" applyFill="0" applyBorder="0" applyAlignment="0" applyProtection="0"/>
    <xf numFmtId="171" fontId="5" fillId="0" borderId="0" applyFont="0" applyFill="0" applyBorder="0" applyAlignment="0" applyProtection="0"/>
    <xf numFmtId="185" fontId="7" fillId="0" borderId="0" applyFont="0" applyFill="0" applyBorder="0" applyAlignment="0" applyProtection="0"/>
    <xf numFmtId="44" fontId="5" fillId="0" borderId="0" applyFont="0" applyFill="0" applyBorder="0" applyAlignment="0" applyProtection="0"/>
    <xf numFmtId="171" fontId="5" fillId="0" borderId="0" applyFont="0" applyFill="0" applyBorder="0" applyAlignment="0" applyProtection="0"/>
    <xf numFmtId="44" fontId="5" fillId="0" borderId="0" applyFont="0" applyFill="0" applyBorder="0" applyAlignment="0" applyProtection="0"/>
    <xf numFmtId="185" fontId="6" fillId="0" borderId="0" applyFont="0" applyFill="0" applyBorder="0" applyAlignment="0" applyProtection="0"/>
    <xf numFmtId="186" fontId="6" fillId="0" borderId="0" applyFont="0" applyFill="0" applyBorder="0" applyAlignment="0" applyProtection="0"/>
    <xf numFmtId="167" fontId="5" fillId="0" borderId="0" applyFill="0" applyBorder="0" applyAlignment="0" applyProtection="0"/>
    <xf numFmtId="165" fontId="5" fillId="0" borderId="0" applyFill="0" applyBorder="0" applyAlignment="0" applyProtection="0"/>
    <xf numFmtId="176" fontId="5" fillId="0" borderId="0" applyFont="0" applyFill="0" applyBorder="0" applyAlignment="0" applyProtection="0"/>
    <xf numFmtId="44" fontId="46" fillId="0" borderId="0" applyFont="0" applyFill="0" applyBorder="0" applyAlignment="0" applyProtection="0"/>
    <xf numFmtId="0" fontId="5" fillId="0" borderId="0" applyFont="0" applyFill="0" applyBorder="0" applyAlignment="0" applyProtection="0"/>
    <xf numFmtId="166" fontId="5" fillId="0" borderId="0" applyFill="0" applyBorder="0" applyAlignment="0" applyProtection="0"/>
    <xf numFmtId="171" fontId="5" fillId="0" borderId="0" applyFont="0" applyFill="0" applyBorder="0" applyAlignment="0" applyProtection="0"/>
    <xf numFmtId="171" fontId="6" fillId="0" borderId="0" applyFont="0" applyFill="0" applyBorder="0" applyAlignment="0" applyProtection="0"/>
    <xf numFmtId="166" fontId="5" fillId="0" borderId="0" applyFill="0" applyBorder="0" applyAlignment="0" applyProtection="0"/>
    <xf numFmtId="171" fontId="6"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5" fontId="5" fillId="0" borderId="0" applyFont="0" applyFill="0" applyBorder="0" applyAlignment="0" applyProtection="0"/>
    <xf numFmtId="169" fontId="5" fillId="0" borderId="0" applyFont="0" applyFill="0" applyBorder="0" applyAlignment="0" applyProtection="0"/>
    <xf numFmtId="175" fontId="5" fillId="0" borderId="0" applyFont="0" applyFill="0" applyBorder="0" applyAlignment="0" applyProtection="0"/>
    <xf numFmtId="175" fontId="5" fillId="0" borderId="0" applyFont="0" applyFill="0" applyBorder="0" applyAlignment="0" applyProtection="0"/>
    <xf numFmtId="175" fontId="5" fillId="0" borderId="0" applyFont="0" applyFill="0" applyBorder="0" applyAlignment="0" applyProtection="0"/>
    <xf numFmtId="175" fontId="5" fillId="0" borderId="0" applyFont="0" applyFill="0" applyBorder="0" applyAlignment="0" applyProtection="0"/>
    <xf numFmtId="0" fontId="31" fillId="22" borderId="0" applyNumberFormat="0" applyBorder="0" applyAlignment="0" applyProtection="0"/>
    <xf numFmtId="0" fontId="31" fillId="22" borderId="0" applyNumberFormat="0" applyBorder="0" applyAlignment="0" applyProtection="0"/>
    <xf numFmtId="0" fontId="2" fillId="0" borderId="0"/>
    <xf numFmtId="0" fontId="1" fillId="0" borderId="0"/>
    <xf numFmtId="0" fontId="46" fillId="0" borderId="0"/>
    <xf numFmtId="0" fontId="46" fillId="0" borderId="0"/>
    <xf numFmtId="0" fontId="2" fillId="0" borderId="0"/>
    <xf numFmtId="0" fontId="5" fillId="0" borderId="0"/>
    <xf numFmtId="0" fontId="2" fillId="0" borderId="0"/>
    <xf numFmtId="0" fontId="6"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46" fillId="0" borderId="0"/>
    <xf numFmtId="0" fontId="5" fillId="0" borderId="0"/>
    <xf numFmtId="0" fontId="2" fillId="0" borderId="0"/>
    <xf numFmtId="0" fontId="4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46" fillId="0" borderId="0"/>
    <xf numFmtId="0" fontId="46" fillId="0" borderId="0"/>
    <xf numFmtId="0" fontId="46" fillId="0" borderId="0"/>
    <xf numFmtId="0" fontId="5" fillId="0" borderId="0"/>
    <xf numFmtId="0" fontId="5" fillId="0" borderId="0"/>
    <xf numFmtId="0" fontId="46" fillId="0" borderId="0"/>
    <xf numFmtId="0" fontId="46" fillId="0" borderId="0"/>
    <xf numFmtId="0" fontId="46" fillId="0" borderId="0"/>
    <xf numFmtId="0" fontId="46" fillId="0" borderId="0"/>
    <xf numFmtId="0" fontId="2" fillId="0" borderId="0"/>
    <xf numFmtId="0" fontId="5"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2"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8" fillId="0" borderId="0"/>
    <xf numFmtId="0" fontId="5" fillId="0" borderId="0"/>
    <xf numFmtId="0" fontId="2" fillId="23" borderId="4" applyNumberFormat="0" applyFont="0" applyAlignment="0" applyProtection="0"/>
    <xf numFmtId="0" fontId="2" fillId="23" borderId="4" applyNumberFormat="0" applyFont="0" applyAlignment="0" applyProtection="0"/>
    <xf numFmtId="0" fontId="2" fillId="23" borderId="4" applyNumberFormat="0" applyFont="0" applyAlignment="0" applyProtection="0"/>
    <xf numFmtId="0" fontId="2" fillId="23" borderId="4" applyNumberFormat="0" applyFont="0" applyAlignment="0" applyProtection="0"/>
    <xf numFmtId="9" fontId="5" fillId="0" borderId="0" applyFill="0" applyBorder="0" applyAlignment="0" applyProtection="0"/>
    <xf numFmtId="9" fontId="5" fillId="0" borderId="0" applyFont="0" applyFill="0" applyBorder="0" applyAlignment="0" applyProtection="0"/>
    <xf numFmtId="9" fontId="5" fillId="0" borderId="0" applyFill="0" applyBorder="0" applyAlignment="0" applyProtection="0"/>
    <xf numFmtId="9" fontId="5" fillId="0" borderId="0" applyFont="0" applyFill="0" applyBorder="0" applyAlignment="0" applyProtection="0"/>
    <xf numFmtId="9" fontId="7" fillId="0" borderId="0" applyFont="0" applyFill="0" applyBorder="0" applyAlignment="0" applyProtection="0"/>
    <xf numFmtId="9" fontId="6" fillId="0" borderId="0" applyFont="0" applyFill="0" applyBorder="0" applyAlignment="0" applyProtection="0"/>
    <xf numFmtId="9" fontId="5" fillId="0" borderId="0" applyFont="0" applyFill="0" applyBorder="0" applyAlignment="0" applyProtection="0"/>
    <xf numFmtId="9" fontId="6"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4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6"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6" fillId="0" borderId="0" applyFont="0" applyFill="0" applyBorder="0" applyAlignment="0" applyProtection="0"/>
    <xf numFmtId="9" fontId="5" fillId="0" borderId="0" applyFont="0" applyFill="0" applyBorder="0" applyAlignment="0" applyProtection="0"/>
    <xf numFmtId="9" fontId="2"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32" fillId="16" borderId="5" applyNumberFormat="0" applyAlignment="0" applyProtection="0"/>
    <xf numFmtId="0" fontId="32" fillId="16" borderId="5" applyNumberFormat="0" applyAlignment="0" applyProtection="0"/>
    <xf numFmtId="168" fontId="5" fillId="0" borderId="0" applyFill="0" applyBorder="0" applyAlignment="0" applyProtection="0"/>
    <xf numFmtId="172" fontId="5" fillId="0" borderId="0" applyFont="0" applyFill="0" applyBorder="0" applyAlignment="0" applyProtection="0"/>
    <xf numFmtId="172" fontId="5" fillId="0" borderId="0" applyFont="0" applyFill="0" applyBorder="0" applyAlignment="0" applyProtection="0"/>
    <xf numFmtId="172" fontId="5" fillId="0" borderId="0" applyFont="0" applyFill="0" applyBorder="0" applyAlignment="0" applyProtection="0"/>
    <xf numFmtId="172" fontId="5" fillId="0" borderId="0" applyFont="0" applyFill="0" applyBorder="0" applyAlignment="0" applyProtection="0"/>
    <xf numFmtId="172" fontId="5" fillId="0" borderId="0" applyFont="0" applyFill="0" applyBorder="0" applyAlignment="0" applyProtection="0"/>
    <xf numFmtId="168" fontId="5" fillId="0" borderId="0" applyFont="0" applyFill="0" applyBorder="0" applyAlignment="0" applyProtection="0"/>
    <xf numFmtId="168" fontId="5" fillId="0" borderId="0" applyFont="0" applyFill="0" applyBorder="0" applyAlignment="0" applyProtection="0"/>
    <xf numFmtId="172" fontId="5" fillId="0" borderId="0" applyFont="0" applyFill="0" applyBorder="0" applyAlignment="0" applyProtection="0"/>
    <xf numFmtId="172" fontId="5" fillId="0" borderId="0" applyFont="0" applyFill="0" applyBorder="0" applyAlignment="0" applyProtection="0"/>
    <xf numFmtId="172" fontId="5" fillId="0" borderId="0" applyFont="0" applyFill="0" applyBorder="0" applyAlignment="0" applyProtection="0"/>
    <xf numFmtId="43" fontId="46" fillId="0" borderId="0" applyFont="0" applyFill="0" applyBorder="0" applyAlignment="0" applyProtection="0"/>
    <xf numFmtId="168" fontId="5" fillId="0" borderId="0" applyFill="0" applyBorder="0" applyAlignment="0" applyProtection="0"/>
    <xf numFmtId="0" fontId="5" fillId="0" borderId="0" applyFill="0" applyBorder="0" applyAlignment="0" applyProtection="0"/>
    <xf numFmtId="177" fontId="5" fillId="0" borderId="0" applyFont="0" applyFill="0" applyBorder="0" applyAlignment="0" applyProtection="0"/>
    <xf numFmtId="172" fontId="5" fillId="0" borderId="0" applyFill="0" applyBorder="0" applyAlignment="0" applyProtection="0"/>
    <xf numFmtId="0" fontId="6" fillId="0" borderId="0" applyFont="0" applyFill="0" applyBorder="0" applyAlignment="0" applyProtection="0"/>
    <xf numFmtId="177" fontId="5" fillId="0" borderId="0" applyFont="0" applyFill="0" applyBorder="0" applyAlignment="0" applyProtection="0"/>
    <xf numFmtId="172" fontId="5" fillId="0" borderId="0" applyFont="0" applyFill="0" applyBorder="0" applyAlignment="0" applyProtection="0"/>
    <xf numFmtId="172" fontId="5" fillId="0" borderId="0" applyFont="0" applyFill="0" applyBorder="0" applyAlignment="0" applyProtection="0"/>
    <xf numFmtId="172" fontId="5" fillId="0" borderId="0" applyFont="0" applyFill="0" applyBorder="0" applyAlignment="0" applyProtection="0"/>
    <xf numFmtId="172" fontId="5" fillId="0" borderId="0" applyFont="0" applyFill="0" applyBorder="0" applyAlignment="0" applyProtection="0"/>
    <xf numFmtId="172" fontId="5" fillId="0" borderId="0" applyFont="0" applyFill="0" applyBorder="0" applyAlignment="0" applyProtection="0"/>
    <xf numFmtId="172" fontId="5" fillId="0" borderId="0" applyFont="0" applyFill="0" applyBorder="0" applyAlignment="0" applyProtection="0"/>
    <xf numFmtId="187" fontId="5" fillId="0" borderId="0" applyFont="0" applyFill="0" applyBorder="0" applyAlignment="0" applyProtection="0"/>
    <xf numFmtId="183" fontId="5" fillId="0" borderId="0" applyFont="0" applyFill="0" applyBorder="0" applyAlignment="0" applyProtection="0"/>
    <xf numFmtId="172" fontId="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2" fontId="5" fillId="0" borderId="0" applyFont="0" applyFill="0" applyBorder="0" applyAlignment="0" applyProtection="0"/>
    <xf numFmtId="0" fontId="5" fillId="0" borderId="0" applyFont="0" applyFill="0" applyBorder="0" applyAlignment="0" applyProtection="0"/>
    <xf numFmtId="0" fontId="5" fillId="0" borderId="0" applyFont="0" applyFill="0" applyBorder="0" applyAlignment="0" applyProtection="0"/>
    <xf numFmtId="172" fontId="5" fillId="0" borderId="0" applyFont="0" applyFill="0" applyBorder="0" applyAlignment="0" applyProtection="0"/>
    <xf numFmtId="177" fontId="5" fillId="0" borderId="0" applyFont="0" applyFill="0" applyBorder="0" applyAlignment="0" applyProtection="0"/>
    <xf numFmtId="188" fontId="5" fillId="0" borderId="0" applyFont="0" applyFill="0" applyBorder="0" applyAlignment="0" applyProtection="0"/>
    <xf numFmtId="172" fontId="6" fillId="0" borderId="0" applyFont="0" applyFill="0" applyBorder="0" applyAlignment="0" applyProtection="0"/>
    <xf numFmtId="0" fontId="5" fillId="0" borderId="0" applyFont="0" applyFill="0" applyBorder="0" applyAlignment="0" applyProtection="0"/>
    <xf numFmtId="172" fontId="5" fillId="0" borderId="0" applyFont="0" applyFill="0" applyBorder="0" applyAlignment="0" applyProtection="0"/>
    <xf numFmtId="172" fontId="5" fillId="0" borderId="0" applyFont="0" applyFill="0" applyBorder="0" applyAlignment="0" applyProtection="0"/>
    <xf numFmtId="177" fontId="5" fillId="0" borderId="0" applyFont="0" applyFill="0" applyBorder="0" applyAlignment="0" applyProtection="0"/>
    <xf numFmtId="172" fontId="5" fillId="0" borderId="0" applyFont="0" applyFill="0" applyBorder="0" applyAlignment="0" applyProtection="0"/>
    <xf numFmtId="172" fontId="5" fillId="0" borderId="0" applyFont="0" applyFill="0" applyBorder="0" applyAlignment="0" applyProtection="0"/>
    <xf numFmtId="0" fontId="5" fillId="0" borderId="0" applyFont="0" applyFill="0" applyBorder="0" applyAlignment="0" applyProtection="0"/>
    <xf numFmtId="172" fontId="5" fillId="0" borderId="0" applyFont="0" applyFill="0" applyBorder="0" applyAlignment="0" applyProtection="0"/>
    <xf numFmtId="177" fontId="5" fillId="0" borderId="0" applyFont="0" applyFill="0" applyBorder="0" applyAlignment="0" applyProtection="0"/>
    <xf numFmtId="43" fontId="46" fillId="0" borderId="0" applyFont="0" applyFill="0" applyBorder="0" applyAlignment="0" applyProtection="0"/>
    <xf numFmtId="172" fontId="6" fillId="0" borderId="0" applyFont="0" applyFill="0" applyBorder="0" applyAlignment="0" applyProtection="0"/>
    <xf numFmtId="174" fontId="5" fillId="0" borderId="0" applyFont="0" applyFill="0" applyBorder="0" applyAlignment="0" applyProtection="0"/>
    <xf numFmtId="183" fontId="5" fillId="0" borderId="0" applyFont="0" applyFill="0" applyBorder="0" applyAlignment="0" applyProtection="0"/>
    <xf numFmtId="174" fontId="5" fillId="0" borderId="0" applyFont="0" applyFill="0" applyBorder="0" applyAlignment="0" applyProtection="0"/>
    <xf numFmtId="174" fontId="5" fillId="0" borderId="0" applyFont="0" applyFill="0" applyBorder="0" applyAlignment="0" applyProtection="0"/>
    <xf numFmtId="172" fontId="5" fillId="0" borderId="0" applyFont="0" applyFill="0" applyBorder="0" applyAlignment="0" applyProtection="0"/>
    <xf numFmtId="168" fontId="5" fillId="0" borderId="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 fillId="0" borderId="0" applyNumberFormat="0" applyFill="0" applyBorder="0" applyAlignment="0" applyProtection="0"/>
    <xf numFmtId="0" fontId="4" fillId="0" borderId="7" applyNumberFormat="0" applyFill="0" applyAlignment="0" applyProtection="0"/>
    <xf numFmtId="0" fontId="4" fillId="0" borderId="8" applyNumberFormat="0" applyFill="0" applyAlignment="0" applyProtection="0"/>
    <xf numFmtId="0" fontId="4" fillId="0" borderId="7" applyNumberFormat="0" applyFill="0" applyAlignment="0" applyProtection="0"/>
    <xf numFmtId="0" fontId="4" fillId="0" borderId="8" applyNumberFormat="0" applyFill="0" applyAlignment="0" applyProtection="0"/>
    <xf numFmtId="0" fontId="4" fillId="0" borderId="6" applyNumberFormat="0" applyFill="0" applyAlignment="0" applyProtection="0"/>
    <xf numFmtId="0" fontId="4" fillId="0" borderId="6" applyNumberFormat="0" applyFill="0" applyAlignment="0" applyProtection="0"/>
    <xf numFmtId="0" fontId="35" fillId="0" borderId="9" applyNumberFormat="0" applyFill="0" applyAlignment="0" applyProtection="0"/>
    <xf numFmtId="0" fontId="35" fillId="0" borderId="9"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7" fillId="0" borderId="11" applyNumberFormat="0" applyFill="0" applyAlignment="0" applyProtection="0"/>
    <xf numFmtId="0" fontId="37" fillId="0" borderId="11" applyNumberFormat="0" applyFill="0" applyAlignment="0" applyProtection="0"/>
    <xf numFmtId="170" fontId="5" fillId="0" borderId="0" applyFill="0" applyBorder="0" applyAlignment="0" applyProtection="0"/>
    <xf numFmtId="168" fontId="5" fillId="0" borderId="0" applyFill="0" applyBorder="0" applyAlignment="0" applyProtection="0"/>
    <xf numFmtId="172" fontId="5" fillId="0" borderId="0" applyFont="0" applyFill="0" applyBorder="0" applyAlignment="0" applyProtection="0"/>
    <xf numFmtId="43" fontId="5" fillId="0" borderId="0" applyFill="0" applyBorder="0" applyAlignment="0" applyProtection="0"/>
    <xf numFmtId="43" fontId="5" fillId="0" borderId="0" applyFill="0" applyBorder="0" applyAlignment="0" applyProtection="0"/>
    <xf numFmtId="170" fontId="5" fillId="0" borderId="0" applyFill="0" applyBorder="0" applyAlignment="0" applyProtection="0"/>
    <xf numFmtId="43" fontId="46" fillId="0" borderId="0" applyFont="0" applyFill="0" applyBorder="0" applyAlignment="0" applyProtection="0"/>
    <xf numFmtId="172" fontId="5" fillId="0" borderId="0" applyFont="0" applyFill="0" applyBorder="0" applyAlignment="0" applyProtection="0"/>
  </cellStyleXfs>
  <cellXfs count="827">
    <xf numFmtId="0" fontId="0" fillId="0" borderId="0" xfId="0"/>
    <xf numFmtId="0" fontId="49" fillId="29" borderId="0" xfId="0" applyFont="1" applyFill="1" applyAlignment="1"/>
    <xf numFmtId="0" fontId="49" fillId="29" borderId="0" xfId="0" applyFont="1" applyFill="1"/>
    <xf numFmtId="0" fontId="50" fillId="0" borderId="0" xfId="0" applyFont="1" applyAlignment="1"/>
    <xf numFmtId="49" fontId="50" fillId="0" borderId="0" xfId="0" applyNumberFormat="1" applyFont="1" applyAlignment="1"/>
    <xf numFmtId="7" fontId="50" fillId="0" borderId="0" xfId="0" applyNumberFormat="1" applyFont="1" applyAlignment="1"/>
    <xf numFmtId="14" fontId="50" fillId="0" borderId="0" xfId="0" applyNumberFormat="1" applyFont="1" applyAlignment="1"/>
    <xf numFmtId="0" fontId="51" fillId="0" borderId="0" xfId="0" applyFont="1"/>
    <xf numFmtId="0" fontId="50" fillId="0" borderId="0" xfId="129" applyFont="1" applyAlignment="1"/>
    <xf numFmtId="0" fontId="52" fillId="0" borderId="0" xfId="129" applyFont="1"/>
    <xf numFmtId="0" fontId="50" fillId="0" borderId="0" xfId="129" applyNumberFormat="1" applyFont="1" applyAlignment="1"/>
    <xf numFmtId="49" fontId="50" fillId="0" borderId="0" xfId="129" applyNumberFormat="1" applyFont="1" applyAlignment="1"/>
    <xf numFmtId="0" fontId="49" fillId="29" borderId="0" xfId="129" applyFont="1" applyFill="1" applyAlignment="1"/>
    <xf numFmtId="0" fontId="49" fillId="29" borderId="0" xfId="129" applyFont="1" applyFill="1"/>
    <xf numFmtId="164" fontId="51" fillId="0" borderId="0" xfId="89" applyFont="1" applyAlignment="1">
      <alignment vertical="center"/>
    </xf>
    <xf numFmtId="173" fontId="51" fillId="0" borderId="0" xfId="89" applyNumberFormat="1" applyFont="1" applyAlignment="1">
      <alignment horizontal="center" vertical="center"/>
    </xf>
    <xf numFmtId="173" fontId="51" fillId="0" borderId="0" xfId="89" applyNumberFormat="1" applyFont="1" applyAlignment="1">
      <alignment horizontal="center"/>
    </xf>
    <xf numFmtId="10" fontId="51" fillId="0" borderId="0" xfId="89" applyNumberFormat="1" applyFont="1" applyAlignment="1">
      <alignment horizontal="center" vertical="center"/>
    </xf>
    <xf numFmtId="0" fontId="53" fillId="0" borderId="0" xfId="249" applyFont="1" applyAlignment="1">
      <alignment vertical="center"/>
    </xf>
    <xf numFmtId="164" fontId="54" fillId="24" borderId="12" xfId="89" applyFont="1" applyFill="1" applyBorder="1" applyAlignment="1">
      <alignment horizontal="center" vertical="center" wrapText="1"/>
    </xf>
    <xf numFmtId="173" fontId="54" fillId="24" borderId="12" xfId="89" applyNumberFormat="1" applyFont="1" applyFill="1" applyBorder="1" applyAlignment="1">
      <alignment horizontal="center" vertical="center" wrapText="1"/>
    </xf>
    <xf numFmtId="10" fontId="54" fillId="24" borderId="12" xfId="89" applyNumberFormat="1" applyFont="1" applyFill="1" applyBorder="1" applyAlignment="1">
      <alignment horizontal="center" vertical="center" wrapText="1"/>
    </xf>
    <xf numFmtId="0" fontId="54" fillId="0" borderId="0" xfId="249" applyFont="1" applyAlignment="1">
      <alignment horizontal="center" vertical="center" wrapText="1"/>
    </xf>
    <xf numFmtId="164" fontId="51" fillId="0" borderId="13" xfId="89" applyFont="1" applyFill="1" applyBorder="1" applyAlignment="1">
      <alignment vertical="center"/>
    </xf>
    <xf numFmtId="173" fontId="51" fillId="0" borderId="13" xfId="89" applyNumberFormat="1" applyFont="1" applyFill="1" applyBorder="1" applyAlignment="1">
      <alignment horizontal="center" vertical="center"/>
    </xf>
    <xf numFmtId="173" fontId="51" fillId="0" borderId="13" xfId="89" applyNumberFormat="1" applyFont="1" applyFill="1" applyBorder="1" applyAlignment="1">
      <alignment horizontal="center" vertical="center" wrapText="1"/>
    </xf>
    <xf numFmtId="10" fontId="51" fillId="0" borderId="14" xfId="254" applyNumberFormat="1" applyFont="1" applyFill="1" applyBorder="1" applyAlignment="1">
      <alignment horizontal="center" vertical="center"/>
    </xf>
    <xf numFmtId="10" fontId="51" fillId="0" borderId="14" xfId="89" applyNumberFormat="1" applyFont="1" applyFill="1" applyBorder="1" applyAlignment="1">
      <alignment horizontal="center" vertical="center"/>
    </xf>
    <xf numFmtId="0" fontId="51" fillId="0" borderId="0" xfId="249" applyFont="1" applyAlignment="1">
      <alignment vertical="center"/>
    </xf>
    <xf numFmtId="173" fontId="51" fillId="0" borderId="0" xfId="249" applyNumberFormat="1" applyFont="1" applyAlignment="1">
      <alignment vertical="center"/>
    </xf>
    <xf numFmtId="164" fontId="51" fillId="0" borderId="14" xfId="89" applyFont="1" applyFill="1" applyBorder="1" applyAlignment="1">
      <alignment vertical="center"/>
    </xf>
    <xf numFmtId="173" fontId="51" fillId="0" borderId="14" xfId="89" applyNumberFormat="1" applyFont="1" applyFill="1" applyBorder="1" applyAlignment="1">
      <alignment horizontal="center" vertical="center"/>
    </xf>
    <xf numFmtId="173" fontId="51" fillId="0" borderId="14" xfId="89" applyNumberFormat="1" applyFont="1" applyFill="1" applyBorder="1" applyAlignment="1">
      <alignment horizontal="center" vertical="center" wrapText="1"/>
    </xf>
    <xf numFmtId="164" fontId="51" fillId="0" borderId="14" xfId="89" applyFont="1" applyFill="1" applyBorder="1" applyAlignment="1">
      <alignment horizontal="left" vertical="center"/>
    </xf>
    <xf numFmtId="164" fontId="51" fillId="0" borderId="15" xfId="89" applyFont="1" applyFill="1" applyBorder="1" applyAlignment="1">
      <alignment vertical="center"/>
    </xf>
    <xf numFmtId="164" fontId="54" fillId="25" borderId="12" xfId="89" applyFont="1" applyFill="1" applyBorder="1" applyAlignment="1">
      <alignment horizontal="left" vertical="center" wrapText="1"/>
    </xf>
    <xf numFmtId="173" fontId="54" fillId="25" borderId="12" xfId="89" applyNumberFormat="1" applyFont="1" applyFill="1" applyBorder="1" applyAlignment="1">
      <alignment horizontal="center" vertical="center" wrapText="1"/>
    </xf>
    <xf numFmtId="10" fontId="54" fillId="25" borderId="12" xfId="89" applyNumberFormat="1" applyFont="1" applyFill="1" applyBorder="1" applyAlignment="1">
      <alignment horizontal="center" vertical="center" wrapText="1"/>
    </xf>
    <xf numFmtId="0" fontId="54" fillId="0" borderId="0" xfId="249" applyFont="1" applyAlignment="1">
      <alignment vertical="center"/>
    </xf>
    <xf numFmtId="164" fontId="51" fillId="0" borderId="0" xfId="89" applyFont="1" applyAlignment="1">
      <alignment horizontal="left" vertical="center" wrapText="1"/>
    </xf>
    <xf numFmtId="164" fontId="51" fillId="0" borderId="0" xfId="89" applyFont="1" applyAlignment="1">
      <alignment horizontal="justify" vertical="center"/>
    </xf>
    <xf numFmtId="10" fontId="51" fillId="0" borderId="13" xfId="89" applyNumberFormat="1" applyFont="1" applyFill="1" applyBorder="1" applyAlignment="1">
      <alignment horizontal="center" vertical="center"/>
    </xf>
    <xf numFmtId="10" fontId="51" fillId="30" borderId="14" xfId="89" applyNumberFormat="1" applyFont="1" applyFill="1" applyBorder="1" applyAlignment="1">
      <alignment horizontal="center" vertical="center"/>
    </xf>
    <xf numFmtId="0" fontId="51" fillId="0" borderId="0" xfId="0" applyFont="1" applyFill="1" applyBorder="1"/>
    <xf numFmtId="10" fontId="51" fillId="0" borderId="0" xfId="0" applyNumberFormat="1" applyFont="1" applyFill="1" applyBorder="1" applyAlignment="1">
      <alignment horizontal="center"/>
    </xf>
    <xf numFmtId="0" fontId="51" fillId="0" borderId="0" xfId="0" applyFont="1" applyFill="1" applyBorder="1" applyAlignment="1">
      <alignment horizontal="center"/>
    </xf>
    <xf numFmtId="0" fontId="51" fillId="0" borderId="0" xfId="0" applyNumberFormat="1" applyFont="1" applyFill="1" applyBorder="1" applyAlignment="1">
      <alignment horizontal="center"/>
    </xf>
    <xf numFmtId="43" fontId="51" fillId="0" borderId="0" xfId="0" applyNumberFormat="1" applyFont="1" applyFill="1" applyBorder="1"/>
    <xf numFmtId="44" fontId="51" fillId="0" borderId="0" xfId="0" applyNumberFormat="1" applyFont="1" applyFill="1" applyBorder="1"/>
    <xf numFmtId="0" fontId="55" fillId="29" borderId="0" xfId="0" applyFont="1" applyFill="1" applyAlignment="1">
      <alignment horizontal="center" vertical="center" wrapText="1"/>
    </xf>
    <xf numFmtId="0" fontId="50" fillId="0" borderId="0" xfId="0" applyNumberFormat="1" applyFont="1" applyAlignment="1"/>
    <xf numFmtId="0" fontId="49" fillId="29" borderId="16" xfId="0" applyFont="1" applyFill="1" applyBorder="1" applyAlignment="1"/>
    <xf numFmtId="0" fontId="49" fillId="29" borderId="17" xfId="0" applyFont="1" applyFill="1" applyBorder="1" applyAlignment="1"/>
    <xf numFmtId="0" fontId="49" fillId="29" borderId="18" xfId="0" applyFont="1" applyFill="1" applyBorder="1" applyAlignment="1"/>
    <xf numFmtId="0" fontId="50" fillId="0" borderId="19" xfId="0" applyFont="1" applyBorder="1" applyAlignment="1"/>
    <xf numFmtId="0" fontId="50" fillId="0" borderId="0" xfId="0" applyFont="1" applyBorder="1" applyAlignment="1"/>
    <xf numFmtId="0" fontId="50" fillId="0" borderId="20" xfId="0" applyFont="1" applyBorder="1" applyAlignment="1"/>
    <xf numFmtId="7" fontId="50" fillId="0" borderId="0" xfId="0" applyNumberFormat="1" applyFont="1" applyBorder="1" applyAlignment="1"/>
    <xf numFmtId="7" fontId="50" fillId="0" borderId="20" xfId="0" applyNumberFormat="1" applyFont="1" applyBorder="1" applyAlignment="1"/>
    <xf numFmtId="0" fontId="51" fillId="0" borderId="19" xfId="0" applyFont="1" applyBorder="1"/>
    <xf numFmtId="0" fontId="51" fillId="0" borderId="0" xfId="0" applyFont="1" applyBorder="1"/>
    <xf numFmtId="0" fontId="51" fillId="0" borderId="20" xfId="0" applyFont="1" applyBorder="1"/>
    <xf numFmtId="0" fontId="49" fillId="29" borderId="0" xfId="0" applyNumberFormat="1" applyFont="1" applyFill="1" applyAlignment="1"/>
    <xf numFmtId="0" fontId="51" fillId="0" borderId="0" xfId="0" applyNumberFormat="1" applyFont="1"/>
    <xf numFmtId="43" fontId="49" fillId="31" borderId="17" xfId="0" applyNumberFormat="1" applyFont="1" applyFill="1" applyBorder="1" applyAlignment="1"/>
    <xf numFmtId="43" fontId="50" fillId="32" borderId="0" xfId="0" applyNumberFormat="1" applyFont="1" applyFill="1" applyBorder="1" applyAlignment="1"/>
    <xf numFmtId="43" fontId="51" fillId="0" borderId="0" xfId="0" applyNumberFormat="1" applyFont="1" applyBorder="1"/>
    <xf numFmtId="0" fontId="49" fillId="31" borderId="17" xfId="0" applyFont="1" applyFill="1" applyBorder="1" applyAlignment="1">
      <alignment horizontal="center"/>
    </xf>
    <xf numFmtId="0" fontId="51" fillId="0" borderId="0" xfId="0" applyFont="1" applyBorder="1" applyAlignment="1">
      <alignment horizontal="center"/>
    </xf>
    <xf numFmtId="49" fontId="50" fillId="0" borderId="0" xfId="0" applyNumberFormat="1" applyFont="1" applyBorder="1" applyAlignment="1"/>
    <xf numFmtId="49" fontId="50" fillId="0" borderId="19" xfId="0" applyNumberFormat="1" applyFont="1" applyBorder="1" applyAlignment="1"/>
    <xf numFmtId="0" fontId="49" fillId="31" borderId="16" xfId="0" applyNumberFormat="1" applyFont="1" applyFill="1" applyBorder="1" applyAlignment="1">
      <alignment horizontal="center"/>
    </xf>
    <xf numFmtId="0" fontId="49" fillId="31" borderId="17" xfId="0" applyNumberFormat="1" applyFont="1" applyFill="1" applyBorder="1" applyAlignment="1">
      <alignment horizontal="center"/>
    </xf>
    <xf numFmtId="0" fontId="50" fillId="32" borderId="19" xfId="0" applyNumberFormat="1" applyFont="1" applyFill="1" applyBorder="1" applyAlignment="1">
      <alignment horizontal="center"/>
    </xf>
    <xf numFmtId="0" fontId="50" fillId="32" borderId="0" xfId="0" applyNumberFormat="1" applyFont="1" applyFill="1" applyBorder="1" applyAlignment="1">
      <alignment horizontal="center"/>
    </xf>
    <xf numFmtId="0" fontId="51" fillId="0" borderId="19" xfId="0" applyNumberFormat="1" applyFont="1" applyBorder="1" applyAlignment="1">
      <alignment horizontal="center"/>
    </xf>
    <xf numFmtId="0" fontId="51" fillId="0" borderId="0" xfId="0" applyNumberFormat="1" applyFont="1" applyBorder="1" applyAlignment="1">
      <alignment horizontal="center"/>
    </xf>
    <xf numFmtId="7" fontId="51" fillId="0" borderId="0" xfId="0" applyNumberFormat="1" applyFont="1" applyFill="1" applyBorder="1" applyAlignment="1"/>
    <xf numFmtId="0" fontId="51" fillId="32" borderId="0" xfId="0" applyNumberFormat="1" applyFont="1" applyFill="1" applyBorder="1" applyAlignment="1">
      <alignment horizontal="center"/>
    </xf>
    <xf numFmtId="43" fontId="51" fillId="0" borderId="0" xfId="0" applyNumberFormat="1" applyFont="1" applyFill="1" applyBorder="1" applyAlignment="1"/>
    <xf numFmtId="0" fontId="51" fillId="32" borderId="0" xfId="0" applyFont="1" applyFill="1" applyBorder="1" applyAlignment="1"/>
    <xf numFmtId="43" fontId="51" fillId="32" borderId="0" xfId="0" applyNumberFormat="1" applyFont="1" applyFill="1" applyBorder="1" applyAlignment="1"/>
    <xf numFmtId="0" fontId="51" fillId="32" borderId="0" xfId="0" applyFont="1" applyFill="1" applyBorder="1" applyAlignment="1">
      <alignment horizontal="center"/>
    </xf>
    <xf numFmtId="43" fontId="49" fillId="31" borderId="17" xfId="0" applyNumberFormat="1" applyFont="1" applyFill="1" applyBorder="1" applyAlignment="1">
      <alignment horizontal="center"/>
    </xf>
    <xf numFmtId="43" fontId="49" fillId="31" borderId="18" xfId="0" applyNumberFormat="1" applyFont="1" applyFill="1" applyBorder="1" applyAlignment="1">
      <alignment horizontal="center"/>
    </xf>
    <xf numFmtId="0" fontId="50" fillId="33" borderId="0" xfId="0" applyFont="1" applyFill="1" applyBorder="1" applyAlignment="1"/>
    <xf numFmtId="7" fontId="50" fillId="33" borderId="20" xfId="0" applyNumberFormat="1" applyFont="1" applyFill="1" applyBorder="1" applyAlignment="1"/>
    <xf numFmtId="0" fontId="51" fillId="34" borderId="0" xfId="0" applyFont="1" applyFill="1" applyBorder="1" applyAlignment="1">
      <alignment horizontal="center"/>
    </xf>
    <xf numFmtId="0" fontId="51" fillId="34" borderId="0" xfId="0" applyNumberFormat="1" applyFont="1" applyFill="1" applyBorder="1" applyAlignment="1">
      <alignment horizontal="center"/>
    </xf>
    <xf numFmtId="49" fontId="51" fillId="34" borderId="0" xfId="0" applyNumberFormat="1" applyFont="1" applyFill="1" applyBorder="1" applyAlignment="1"/>
    <xf numFmtId="49" fontId="51" fillId="0" borderId="0" xfId="0" applyNumberFormat="1" applyFont="1" applyFill="1" applyBorder="1" applyAlignment="1"/>
    <xf numFmtId="0" fontId="54" fillId="0" borderId="0" xfId="0" applyFont="1" applyFill="1" applyBorder="1"/>
    <xf numFmtId="0" fontId="54" fillId="0" borderId="0" xfId="0" applyFont="1" applyFill="1" applyBorder="1" applyAlignment="1">
      <alignment vertical="center"/>
    </xf>
    <xf numFmtId="178" fontId="51" fillId="0" borderId="0" xfId="0" applyNumberFormat="1" applyFont="1" applyFill="1" applyBorder="1" applyAlignment="1">
      <alignment horizontal="center"/>
    </xf>
    <xf numFmtId="43" fontId="56" fillId="32" borderId="20" xfId="0" applyNumberFormat="1" applyFont="1" applyFill="1" applyBorder="1" applyAlignment="1"/>
    <xf numFmtId="43" fontId="54" fillId="0" borderId="20" xfId="0" applyNumberFormat="1" applyFont="1" applyBorder="1"/>
    <xf numFmtId="0" fontId="54" fillId="0" borderId="20" xfId="0" applyFont="1" applyBorder="1"/>
    <xf numFmtId="43" fontId="56" fillId="35" borderId="20" xfId="0" applyNumberFormat="1" applyFont="1" applyFill="1" applyBorder="1" applyAlignment="1"/>
    <xf numFmtId="7" fontId="56" fillId="35" borderId="20" xfId="0" applyNumberFormat="1" applyFont="1" applyFill="1" applyBorder="1" applyAlignment="1"/>
    <xf numFmtId="7" fontId="50" fillId="35" borderId="20" xfId="0" applyNumberFormat="1" applyFont="1" applyFill="1" applyBorder="1" applyAlignment="1"/>
    <xf numFmtId="0" fontId="51" fillId="36" borderId="21" xfId="0" applyNumberFormat="1" applyFont="1" applyFill="1" applyBorder="1" applyAlignment="1">
      <alignment horizontal="center"/>
    </xf>
    <xf numFmtId="49" fontId="51" fillId="36" borderId="21" xfId="0" applyNumberFormat="1" applyFont="1" applyFill="1" applyBorder="1" applyAlignment="1"/>
    <xf numFmtId="49" fontId="51" fillId="36" borderId="22" xfId="0" applyNumberFormat="1" applyFont="1" applyFill="1" applyBorder="1" applyAlignment="1"/>
    <xf numFmtId="2" fontId="0" fillId="0" borderId="0" xfId="0" applyNumberFormat="1" applyBorder="1" applyAlignment="1">
      <alignment horizontal="center"/>
    </xf>
    <xf numFmtId="0" fontId="54" fillId="0" borderId="0" xfId="0" applyNumberFormat="1" applyFont="1" applyFill="1" applyBorder="1" applyAlignment="1">
      <alignment horizontal="center"/>
    </xf>
    <xf numFmtId="0" fontId="54" fillId="36" borderId="0" xfId="0" applyFont="1" applyFill="1" applyBorder="1"/>
    <xf numFmtId="0" fontId="54" fillId="36" borderId="0" xfId="0" applyNumberFormat="1" applyFont="1" applyFill="1" applyBorder="1" applyAlignment="1">
      <alignment horizontal="center"/>
    </xf>
    <xf numFmtId="0" fontId="54" fillId="0" borderId="0" xfId="0" applyFont="1" applyFill="1" applyBorder="1" applyAlignment="1">
      <alignment horizontal="center"/>
    </xf>
    <xf numFmtId="0" fontId="49" fillId="29" borderId="0" xfId="0" applyFont="1" applyFill="1" applyAlignment="1">
      <alignment horizontal="center" vertical="center" wrapText="1"/>
    </xf>
    <xf numFmtId="172" fontId="51" fillId="0" borderId="0" xfId="296" applyFont="1" applyBorder="1" applyAlignment="1">
      <alignment horizontal="left"/>
    </xf>
    <xf numFmtId="2" fontId="51" fillId="0" borderId="0" xfId="0" applyNumberFormat="1" applyFont="1" applyBorder="1" applyAlignment="1">
      <alignment horizontal="center"/>
    </xf>
    <xf numFmtId="172" fontId="51" fillId="0" borderId="23" xfId="296" applyFont="1" applyBorder="1" applyAlignment="1" applyProtection="1">
      <alignment vertical="center" wrapText="1"/>
    </xf>
    <xf numFmtId="2" fontId="51" fillId="0" borderId="23" xfId="0" applyNumberFormat="1" applyFont="1" applyBorder="1" applyAlignment="1" applyProtection="1">
      <alignment horizontal="center" vertical="center" wrapText="1"/>
    </xf>
    <xf numFmtId="2" fontId="51" fillId="0" borderId="23" xfId="0" applyNumberFormat="1" applyFont="1" applyBorder="1" applyAlignment="1">
      <alignment horizontal="center"/>
    </xf>
    <xf numFmtId="171" fontId="54" fillId="0" borderId="24" xfId="101" applyFont="1" applyBorder="1" applyAlignment="1">
      <alignment horizontal="right" vertical="center"/>
    </xf>
    <xf numFmtId="0" fontId="54" fillId="36" borderId="25" xfId="0" applyFont="1" applyFill="1" applyBorder="1" applyAlignment="1"/>
    <xf numFmtId="2" fontId="54" fillId="0" borderId="16" xfId="0" applyNumberFormat="1" applyFont="1" applyBorder="1" applyAlignment="1">
      <alignment horizontal="right"/>
    </xf>
    <xf numFmtId="172" fontId="51" fillId="0" borderId="26" xfId="296" applyFont="1" applyFill="1" applyBorder="1" applyAlignment="1"/>
    <xf numFmtId="172" fontId="51" fillId="0" borderId="17" xfId="296" applyFont="1" applyFill="1" applyBorder="1" applyAlignment="1"/>
    <xf numFmtId="172" fontId="51" fillId="0" borderId="27" xfId="296" applyFont="1" applyFill="1" applyBorder="1" applyAlignment="1"/>
    <xf numFmtId="2" fontId="54" fillId="36" borderId="0" xfId="0" applyNumberFormat="1" applyFont="1" applyFill="1" applyBorder="1" applyAlignment="1">
      <alignment horizontal="right"/>
    </xf>
    <xf numFmtId="172" fontId="54" fillId="36" borderId="0" xfId="296" applyFont="1" applyFill="1" applyBorder="1" applyAlignment="1">
      <alignment horizontal="center"/>
    </xf>
    <xf numFmtId="172" fontId="54" fillId="36" borderId="0" xfId="296" applyFont="1" applyFill="1" applyBorder="1" applyAlignment="1"/>
    <xf numFmtId="14" fontId="54" fillId="36" borderId="0" xfId="296" applyNumberFormat="1" applyFont="1" applyFill="1" applyBorder="1" applyAlignment="1">
      <alignment horizontal="center"/>
    </xf>
    <xf numFmtId="2" fontId="54" fillId="36" borderId="0" xfId="0" applyNumberFormat="1" applyFont="1" applyFill="1" applyBorder="1" applyAlignment="1"/>
    <xf numFmtId="2" fontId="54" fillId="36" borderId="0" xfId="0" applyNumberFormat="1" applyFont="1" applyFill="1" applyBorder="1" applyAlignment="1">
      <alignment horizontal="center"/>
    </xf>
    <xf numFmtId="164" fontId="51" fillId="0" borderId="22" xfId="89" applyFont="1" applyFill="1" applyBorder="1" applyAlignment="1"/>
    <xf numFmtId="2" fontId="54" fillId="0" borderId="0" xfId="0" applyNumberFormat="1" applyFont="1" applyBorder="1" applyAlignment="1">
      <alignment horizontal="left"/>
    </xf>
    <xf numFmtId="14" fontId="54" fillId="0" borderId="0" xfId="0" applyNumberFormat="1" applyFont="1" applyBorder="1" applyAlignment="1">
      <alignment horizontal="left"/>
    </xf>
    <xf numFmtId="1" fontId="54" fillId="0" borderId="0" xfId="0" applyNumberFormat="1" applyFont="1" applyBorder="1" applyAlignment="1">
      <alignment horizontal="left"/>
    </xf>
    <xf numFmtId="0" fontId="54" fillId="37" borderId="12" xfId="0" applyFont="1" applyFill="1" applyBorder="1" applyAlignment="1">
      <alignment horizontal="center" vertical="center" wrapText="1"/>
    </xf>
    <xf numFmtId="2" fontId="54" fillId="0" borderId="24" xfId="0" applyNumberFormat="1" applyFont="1" applyBorder="1" applyAlignment="1">
      <alignment horizontal="center"/>
    </xf>
    <xf numFmtId="172" fontId="54" fillId="0" borderId="12" xfId="296" applyFont="1" applyFill="1" applyBorder="1" applyAlignment="1">
      <alignment horizontal="center"/>
    </xf>
    <xf numFmtId="14" fontId="54" fillId="38" borderId="12" xfId="296" applyNumberFormat="1" applyFont="1" applyFill="1" applyBorder="1" applyAlignment="1">
      <alignment horizontal="center"/>
    </xf>
    <xf numFmtId="0" fontId="54" fillId="36" borderId="25" xfId="0" applyFont="1" applyFill="1" applyBorder="1" applyAlignment="1">
      <alignment horizontal="center"/>
    </xf>
    <xf numFmtId="172" fontId="51" fillId="0" borderId="17" xfId="296" applyFont="1" applyFill="1" applyBorder="1" applyAlignment="1">
      <alignment horizontal="center"/>
    </xf>
    <xf numFmtId="172" fontId="10" fillId="0" borderId="0" xfId="296" applyFont="1" applyFill="1" applyBorder="1" applyAlignment="1">
      <alignment vertical="center"/>
    </xf>
    <xf numFmtId="0" fontId="5" fillId="0" borderId="0" xfId="0" applyFont="1" applyFill="1" applyBorder="1" applyAlignment="1"/>
    <xf numFmtId="0" fontId="5" fillId="36" borderId="0" xfId="0" applyFont="1" applyFill="1" applyBorder="1" applyAlignment="1"/>
    <xf numFmtId="172" fontId="0" fillId="0" borderId="0" xfId="296" applyFont="1" applyAlignment="1">
      <alignment horizontal="center"/>
    </xf>
    <xf numFmtId="2" fontId="0" fillId="0" borderId="0" xfId="0" applyNumberFormat="1" applyAlignment="1">
      <alignment horizontal="center"/>
    </xf>
    <xf numFmtId="172" fontId="12" fillId="0" borderId="0" xfId="296" applyFont="1" applyFill="1" applyBorder="1" applyAlignment="1">
      <alignment horizontal="left"/>
    </xf>
    <xf numFmtId="172" fontId="12" fillId="0" borderId="0" xfId="296" applyFont="1" applyFill="1" applyBorder="1" applyAlignment="1">
      <alignment horizontal="center"/>
    </xf>
    <xf numFmtId="10" fontId="5" fillId="38" borderId="21" xfId="296" applyNumberFormat="1" applyFont="1" applyFill="1" applyBorder="1" applyAlignment="1">
      <alignment horizontal="center"/>
    </xf>
    <xf numFmtId="10" fontId="5" fillId="38" borderId="28" xfId="296" applyNumberFormat="1" applyFont="1" applyFill="1" applyBorder="1" applyAlignment="1">
      <alignment horizontal="center"/>
    </xf>
    <xf numFmtId="10" fontId="5" fillId="38" borderId="29" xfId="296" applyNumberFormat="1" applyFont="1" applyFill="1" applyBorder="1" applyAlignment="1">
      <alignment horizontal="center"/>
    </xf>
    <xf numFmtId="10" fontId="5" fillId="38" borderId="30" xfId="296" applyNumberFormat="1" applyFont="1" applyFill="1" applyBorder="1" applyAlignment="1">
      <alignment horizontal="center"/>
    </xf>
    <xf numFmtId="10" fontId="5" fillId="38" borderId="31" xfId="296" applyNumberFormat="1" applyFont="1" applyFill="1" applyBorder="1" applyAlignment="1">
      <alignment horizontal="center"/>
    </xf>
    <xf numFmtId="2" fontId="0" fillId="0" borderId="0" xfId="0" applyNumberFormat="1" applyFill="1" applyAlignment="1">
      <alignment horizontal="center" vertical="center"/>
    </xf>
    <xf numFmtId="10" fontId="5" fillId="38" borderId="22" xfId="296" applyNumberFormat="1" applyFont="1" applyFill="1" applyBorder="1" applyAlignment="1">
      <alignment horizontal="center" vertical="center"/>
    </xf>
    <xf numFmtId="10" fontId="5" fillId="38" borderId="32" xfId="296" applyNumberFormat="1" applyFont="1" applyFill="1" applyBorder="1" applyAlignment="1">
      <alignment horizontal="center" vertical="center"/>
    </xf>
    <xf numFmtId="10" fontId="5" fillId="38" borderId="33" xfId="296" applyNumberFormat="1" applyFont="1" applyFill="1" applyBorder="1" applyAlignment="1">
      <alignment horizontal="center" vertical="center"/>
    </xf>
    <xf numFmtId="2" fontId="0" fillId="0" borderId="0" xfId="0" applyNumberFormat="1" applyAlignment="1">
      <alignment horizontal="center" vertical="center"/>
    </xf>
    <xf numFmtId="2" fontId="0" fillId="0" borderId="0" xfId="0" applyNumberFormat="1" applyFill="1" applyAlignment="1">
      <alignment horizontal="center"/>
    </xf>
    <xf numFmtId="2" fontId="14" fillId="0" borderId="0" xfId="0" applyNumberFormat="1" applyFont="1" applyFill="1" applyBorder="1" applyAlignment="1"/>
    <xf numFmtId="10" fontId="5" fillId="38" borderId="22" xfId="296" applyNumberFormat="1" applyFont="1" applyFill="1" applyBorder="1" applyAlignment="1">
      <alignment horizontal="center"/>
    </xf>
    <xf numFmtId="177" fontId="0" fillId="0" borderId="32" xfId="296" applyNumberFormat="1" applyFont="1" applyFill="1" applyBorder="1" applyAlignment="1"/>
    <xf numFmtId="10" fontId="5" fillId="38" borderId="34" xfId="296" applyNumberFormat="1" applyFont="1" applyFill="1" applyBorder="1" applyAlignment="1">
      <alignment horizontal="center"/>
    </xf>
    <xf numFmtId="177" fontId="0" fillId="0" borderId="34" xfId="296" applyNumberFormat="1" applyFont="1" applyFill="1" applyBorder="1" applyAlignment="1"/>
    <xf numFmtId="2" fontId="9" fillId="39" borderId="22" xfId="0" applyNumberFormat="1" applyFont="1" applyFill="1" applyBorder="1" applyAlignment="1">
      <alignment horizontal="center" vertical="center"/>
    </xf>
    <xf numFmtId="2" fontId="57" fillId="39" borderId="35" xfId="0" applyNumberFormat="1" applyFont="1" applyFill="1" applyBorder="1" applyAlignment="1">
      <alignment vertical="center"/>
    </xf>
    <xf numFmtId="14" fontId="0" fillId="39" borderId="36" xfId="0" applyNumberFormat="1" applyFill="1" applyBorder="1" applyAlignment="1"/>
    <xf numFmtId="14" fontId="0" fillId="39" borderId="35" xfId="0" applyNumberFormat="1" applyFill="1" applyBorder="1" applyAlignment="1"/>
    <xf numFmtId="172" fontId="5" fillId="39" borderId="35" xfId="296" applyFont="1" applyFill="1" applyBorder="1" applyAlignment="1">
      <alignment horizontal="center"/>
    </xf>
    <xf numFmtId="2" fontId="0" fillId="39" borderId="35" xfId="0" applyNumberFormat="1" applyFill="1" applyBorder="1" applyAlignment="1">
      <alignment horizontal="center"/>
    </xf>
    <xf numFmtId="2" fontId="0" fillId="39" borderId="37" xfId="0" applyNumberFormat="1" applyFill="1" applyBorder="1" applyAlignment="1">
      <alignment horizontal="center"/>
    </xf>
    <xf numFmtId="2" fontId="0" fillId="39" borderId="38" xfId="0" applyNumberFormat="1" applyFill="1" applyBorder="1" applyAlignment="1">
      <alignment horizontal="center"/>
    </xf>
    <xf numFmtId="14" fontId="0" fillId="38" borderId="22" xfId="0" applyNumberFormat="1" applyFill="1" applyBorder="1" applyAlignment="1">
      <alignment horizontal="center"/>
    </xf>
    <xf numFmtId="172" fontId="5" fillId="24" borderId="22" xfId="296" applyFill="1" applyBorder="1" applyAlignment="1">
      <alignment horizontal="center"/>
    </xf>
    <xf numFmtId="172" fontId="5" fillId="38" borderId="22" xfId="296" applyFont="1" applyFill="1" applyBorder="1" applyAlignment="1">
      <alignment horizontal="center"/>
    </xf>
    <xf numFmtId="180" fontId="0" fillId="0" borderId="22" xfId="296" applyNumberFormat="1" applyFont="1" applyFill="1" applyBorder="1" applyAlignment="1">
      <alignment horizontal="center"/>
    </xf>
    <xf numFmtId="172" fontId="0" fillId="0" borderId="22" xfId="296" applyFont="1" applyFill="1" applyBorder="1" applyAlignment="1">
      <alignment horizontal="center"/>
    </xf>
    <xf numFmtId="14" fontId="0" fillId="0" borderId="22" xfId="0" applyNumberFormat="1" applyFill="1" applyBorder="1" applyAlignment="1">
      <alignment horizontal="center"/>
    </xf>
    <xf numFmtId="2" fontId="0" fillId="36" borderId="0" xfId="0" applyNumberFormat="1" applyFill="1" applyAlignment="1">
      <alignment horizontal="center"/>
    </xf>
    <xf numFmtId="2" fontId="0" fillId="41" borderId="0" xfId="0" applyNumberFormat="1" applyFill="1" applyAlignment="1">
      <alignment horizontal="center"/>
    </xf>
    <xf numFmtId="2" fontId="0" fillId="0" borderId="0" xfId="0" applyNumberFormat="1" applyFill="1" applyBorder="1" applyAlignment="1">
      <alignment horizontal="center"/>
    </xf>
    <xf numFmtId="2" fontId="0" fillId="36" borderId="0" xfId="0" applyNumberFormat="1" applyFill="1" applyBorder="1" applyAlignment="1">
      <alignment horizontal="center"/>
    </xf>
    <xf numFmtId="2" fontId="15" fillId="0" borderId="0" xfId="0" applyNumberFormat="1" applyFont="1" applyAlignment="1">
      <alignment horizontal="center" wrapText="1"/>
    </xf>
    <xf numFmtId="2" fontId="5" fillId="0" borderId="0" xfId="0" applyNumberFormat="1" applyFont="1" applyAlignment="1">
      <alignment horizontal="center"/>
    </xf>
    <xf numFmtId="14" fontId="0" fillId="0" borderId="0" xfId="0" applyNumberFormat="1" applyFill="1" applyAlignment="1">
      <alignment horizontal="center"/>
    </xf>
    <xf numFmtId="14" fontId="0" fillId="0" borderId="0" xfId="0" applyNumberFormat="1" applyAlignment="1">
      <alignment horizontal="center"/>
    </xf>
    <xf numFmtId="172" fontId="0" fillId="0" borderId="0" xfId="296" applyFont="1" applyBorder="1" applyAlignment="1">
      <alignment horizontal="center"/>
    </xf>
    <xf numFmtId="14" fontId="0" fillId="38" borderId="0" xfId="0" applyNumberFormat="1" applyFill="1" applyAlignment="1">
      <alignment horizontal="center"/>
    </xf>
    <xf numFmtId="0" fontId="16" fillId="33" borderId="14" xfId="84" applyFill="1" applyBorder="1" applyAlignment="1" applyProtection="1">
      <alignment vertical="center"/>
    </xf>
    <xf numFmtId="0" fontId="16" fillId="42" borderId="14" xfId="84" applyFill="1" applyBorder="1" applyAlignment="1" applyProtection="1">
      <alignment vertical="center"/>
    </xf>
    <xf numFmtId="0" fontId="16" fillId="33" borderId="45" xfId="84" applyFill="1" applyBorder="1" applyAlignment="1" applyProtection="1">
      <alignment vertical="center"/>
    </xf>
    <xf numFmtId="0" fontId="16" fillId="42" borderId="14" xfId="84" applyFill="1" applyBorder="1" applyAlignment="1" applyProtection="1">
      <alignment horizontal="left" vertical="center"/>
    </xf>
    <xf numFmtId="0" fontId="16" fillId="43" borderId="14" xfId="84" applyFill="1" applyBorder="1" applyAlignment="1" applyProtection="1">
      <alignment vertical="center"/>
    </xf>
    <xf numFmtId="0" fontId="16" fillId="43" borderId="14" xfId="84" applyFill="1" applyBorder="1" applyAlignment="1" applyProtection="1">
      <alignment horizontal="left" vertical="center"/>
    </xf>
    <xf numFmtId="0" fontId="16" fillId="33" borderId="14" xfId="84" applyFill="1" applyBorder="1" applyAlignment="1" applyProtection="1">
      <alignment horizontal="left" vertical="center"/>
    </xf>
    <xf numFmtId="0" fontId="16" fillId="43" borderId="15" xfId="84" applyFill="1" applyBorder="1" applyAlignment="1" applyProtection="1">
      <alignment vertical="center"/>
    </xf>
    <xf numFmtId="0" fontId="16" fillId="33" borderId="15" xfId="84" applyFill="1" applyBorder="1" applyAlignment="1" applyProtection="1">
      <alignment vertical="center"/>
    </xf>
    <xf numFmtId="0" fontId="16" fillId="33" borderId="46" xfId="84" applyFill="1" applyBorder="1" applyAlignment="1" applyProtection="1">
      <alignment vertical="center"/>
    </xf>
    <xf numFmtId="0" fontId="9" fillId="26" borderId="12" xfId="129" applyFont="1" applyFill="1" applyBorder="1" applyAlignment="1">
      <alignment horizontal="center" vertical="center"/>
    </xf>
    <xf numFmtId="0" fontId="5" fillId="33" borderId="47" xfId="129" applyFont="1" applyFill="1" applyBorder="1" applyAlignment="1">
      <alignment vertical="center"/>
    </xf>
    <xf numFmtId="0" fontId="5" fillId="42" borderId="48" xfId="129" applyFont="1" applyFill="1" applyBorder="1" applyAlignment="1">
      <alignment vertical="center"/>
    </xf>
    <xf numFmtId="0" fontId="5" fillId="42" borderId="47" xfId="129" applyFont="1" applyFill="1" applyBorder="1" applyAlignment="1">
      <alignment vertical="center"/>
    </xf>
    <xf numFmtId="0" fontId="5" fillId="33" borderId="48" xfId="129" applyFont="1" applyFill="1" applyBorder="1" applyAlignment="1">
      <alignment vertical="center"/>
    </xf>
    <xf numFmtId="0" fontId="5" fillId="33" borderId="47" xfId="129" applyFont="1" applyFill="1" applyBorder="1" applyAlignment="1">
      <alignment horizontal="left" vertical="center"/>
    </xf>
    <xf numFmtId="0" fontId="5" fillId="43" borderId="48" xfId="129" applyFont="1" applyFill="1" applyBorder="1" applyAlignment="1">
      <alignment vertical="center"/>
    </xf>
    <xf numFmtId="0" fontId="5" fillId="43" borderId="49" xfId="129" applyFont="1" applyFill="1" applyBorder="1" applyAlignment="1">
      <alignment vertical="center"/>
    </xf>
    <xf numFmtId="0" fontId="5" fillId="33" borderId="49" xfId="129" applyFont="1" applyFill="1" applyBorder="1" applyAlignment="1">
      <alignment vertical="center"/>
    </xf>
    <xf numFmtId="0" fontId="5" fillId="33" borderId="50" xfId="129" applyFont="1" applyFill="1" applyBorder="1" applyAlignment="1">
      <alignment vertical="center"/>
    </xf>
    <xf numFmtId="0" fontId="9" fillId="26" borderId="51" xfId="129" applyFont="1" applyFill="1" applyBorder="1" applyAlignment="1">
      <alignment horizontal="center" vertical="center"/>
    </xf>
    <xf numFmtId="0" fontId="9" fillId="26" borderId="17" xfId="129" applyFont="1" applyFill="1" applyBorder="1" applyAlignment="1">
      <alignment horizontal="center" vertical="center"/>
    </xf>
    <xf numFmtId="168" fontId="9" fillId="26" borderId="51" xfId="330" applyFont="1" applyFill="1" applyBorder="1" applyAlignment="1">
      <alignment horizontal="center" vertical="center"/>
    </xf>
    <xf numFmtId="168" fontId="9" fillId="26" borderId="51" xfId="330" applyFont="1" applyFill="1" applyBorder="1" applyAlignment="1">
      <alignment horizontal="center" vertical="center" wrapText="1"/>
    </xf>
    <xf numFmtId="2" fontId="0" fillId="0" borderId="22" xfId="0" applyNumberFormat="1" applyBorder="1"/>
    <xf numFmtId="1" fontId="54" fillId="36" borderId="52" xfId="296" applyNumberFormat="1" applyFont="1" applyFill="1" applyBorder="1" applyAlignment="1">
      <alignment horizontal="center" wrapText="1"/>
    </xf>
    <xf numFmtId="0" fontId="54" fillId="0" borderId="0" xfId="0" applyFont="1" applyFill="1" applyBorder="1" applyAlignment="1">
      <alignment horizontal="center" vertical="center"/>
    </xf>
    <xf numFmtId="0" fontId="51" fillId="0" borderId="0" xfId="0" applyFont="1" applyFill="1" applyBorder="1" applyAlignment="1">
      <alignment wrapText="1"/>
    </xf>
    <xf numFmtId="172" fontId="54" fillId="0" borderId="12" xfId="296" applyFont="1" applyFill="1" applyBorder="1" applyAlignment="1">
      <alignment horizontal="center" wrapText="1"/>
    </xf>
    <xf numFmtId="14" fontId="54" fillId="38" borderId="12" xfId="296" applyNumberFormat="1" applyFont="1" applyFill="1" applyBorder="1" applyAlignment="1">
      <alignment horizontal="center" wrapText="1"/>
    </xf>
    <xf numFmtId="43" fontId="51" fillId="0" borderId="0" xfId="0" applyNumberFormat="1" applyFont="1" applyFill="1" applyBorder="1" applyAlignment="1">
      <alignment wrapText="1"/>
    </xf>
    <xf numFmtId="44" fontId="51" fillId="0" borderId="0" xfId="0" applyNumberFormat="1" applyFont="1" applyFill="1" applyBorder="1" applyAlignment="1">
      <alignment wrapText="1"/>
    </xf>
    <xf numFmtId="7" fontId="51" fillId="0" borderId="0" xfId="0" applyNumberFormat="1" applyFont="1" applyFill="1" applyBorder="1"/>
    <xf numFmtId="0" fontId="17" fillId="0" borderId="0" xfId="0" applyFont="1"/>
    <xf numFmtId="0" fontId="18" fillId="0" borderId="0" xfId="0" applyFont="1"/>
    <xf numFmtId="0" fontId="19" fillId="0" borderId="0" xfId="0" applyFont="1"/>
    <xf numFmtId="172" fontId="20" fillId="0" borderId="0" xfId="296" applyFont="1" applyFill="1" applyBorder="1" applyAlignment="1">
      <alignment horizontal="center" vertical="center"/>
    </xf>
    <xf numFmtId="172" fontId="20" fillId="0" borderId="53" xfId="296" applyFont="1" applyFill="1" applyBorder="1" applyAlignment="1">
      <alignment horizontal="center" vertical="center"/>
    </xf>
    <xf numFmtId="172" fontId="20" fillId="0" borderId="0" xfId="296" applyFont="1" applyFill="1" applyBorder="1" applyAlignment="1">
      <alignment horizontal="center" vertical="center" wrapText="1"/>
    </xf>
    <xf numFmtId="0" fontId="21" fillId="0" borderId="0" xfId="0" applyFont="1" applyAlignment="1"/>
    <xf numFmtId="0" fontId="21" fillId="0" borderId="0" xfId="0" applyFont="1" applyBorder="1" applyAlignment="1"/>
    <xf numFmtId="0" fontId="20" fillId="43" borderId="12" xfId="0" applyFont="1" applyFill="1" applyBorder="1" applyAlignment="1">
      <alignment horizontal="center" vertical="center" textRotation="90" wrapText="1"/>
    </xf>
    <xf numFmtId="0" fontId="20" fillId="43" borderId="12" xfId="0" applyNumberFormat="1" applyFont="1" applyFill="1" applyBorder="1" applyAlignment="1">
      <alignment horizontal="center" vertical="center" textRotation="90"/>
    </xf>
    <xf numFmtId="0" fontId="20" fillId="43" borderId="52" xfId="0" applyNumberFormat="1" applyFont="1" applyFill="1" applyBorder="1" applyAlignment="1">
      <alignment horizontal="center" vertical="center" textRotation="90"/>
    </xf>
    <xf numFmtId="0" fontId="20" fillId="43" borderId="51" xfId="0" applyFont="1" applyFill="1" applyBorder="1" applyAlignment="1">
      <alignment horizontal="center" vertical="center" textRotation="90"/>
    </xf>
    <xf numFmtId="171" fontId="20" fillId="43" borderId="51" xfId="101" applyFont="1" applyFill="1" applyBorder="1" applyAlignment="1">
      <alignment horizontal="center" vertical="center" textRotation="90"/>
    </xf>
    <xf numFmtId="0" fontId="20" fillId="43" borderId="51" xfId="0" applyFont="1" applyFill="1" applyBorder="1" applyAlignment="1">
      <alignment horizontal="center" vertical="center" textRotation="90" wrapText="1"/>
    </xf>
    <xf numFmtId="0" fontId="20" fillId="43" borderId="12" xfId="0" applyNumberFormat="1" applyFont="1" applyFill="1" applyBorder="1" applyAlignment="1">
      <alignment horizontal="center" vertical="center" textRotation="90" wrapText="1"/>
    </xf>
    <xf numFmtId="0" fontId="20" fillId="43" borderId="51" xfId="0" applyNumberFormat="1" applyFont="1" applyFill="1" applyBorder="1" applyAlignment="1">
      <alignment horizontal="center" vertical="center" textRotation="90" wrapText="1"/>
    </xf>
    <xf numFmtId="0" fontId="20" fillId="44" borderId="54" xfId="0" applyNumberFormat="1" applyFont="1" applyFill="1" applyBorder="1" applyAlignment="1">
      <alignment horizontal="center" vertical="center" textRotation="90"/>
    </xf>
    <xf numFmtId="0" fontId="20" fillId="44" borderId="54" xfId="0" applyNumberFormat="1" applyFont="1" applyFill="1" applyBorder="1" applyAlignment="1">
      <alignment horizontal="center" vertical="center" textRotation="90" wrapText="1"/>
    </xf>
    <xf numFmtId="0" fontId="20" fillId="43" borderId="55" xfId="0" applyFont="1" applyFill="1" applyBorder="1" applyAlignment="1">
      <alignment horizontal="center" vertical="center" textRotation="90" wrapText="1"/>
    </xf>
    <xf numFmtId="181" fontId="20" fillId="43" borderId="16" xfId="101" applyNumberFormat="1" applyFont="1" applyFill="1" applyBorder="1" applyAlignment="1">
      <alignment horizontal="center" vertical="center" textRotation="90" wrapText="1"/>
    </xf>
    <xf numFmtId="181" fontId="20" fillId="43" borderId="51" xfId="101" applyNumberFormat="1" applyFont="1" applyFill="1" applyBorder="1" applyAlignment="1">
      <alignment horizontal="center" vertical="center" textRotation="90"/>
    </xf>
    <xf numFmtId="179" fontId="20" fillId="43" borderId="51" xfId="101" applyNumberFormat="1" applyFont="1" applyFill="1" applyBorder="1" applyAlignment="1">
      <alignment horizontal="center" vertical="center" textRotation="90"/>
    </xf>
    <xf numFmtId="182" fontId="20" fillId="43" borderId="51" xfId="101" applyNumberFormat="1" applyFont="1" applyFill="1" applyBorder="1" applyAlignment="1">
      <alignment horizontal="center" vertical="center" textRotation="90"/>
    </xf>
    <xf numFmtId="182" fontId="20" fillId="44" borderId="56" xfId="101" applyNumberFormat="1" applyFont="1" applyFill="1" applyBorder="1" applyAlignment="1" applyProtection="1">
      <alignment horizontal="center" vertical="center" textRotation="90"/>
    </xf>
    <xf numFmtId="0" fontId="22" fillId="36" borderId="39" xfId="0" applyFont="1" applyFill="1" applyBorder="1"/>
    <xf numFmtId="0" fontId="20" fillId="36" borderId="22" xfId="0" applyFont="1" applyFill="1" applyBorder="1" applyAlignment="1">
      <alignment horizontal="center"/>
    </xf>
    <xf numFmtId="1" fontId="22" fillId="36" borderId="22" xfId="0" applyNumberFormat="1" applyFont="1" applyFill="1" applyBorder="1" applyAlignment="1">
      <alignment horizontal="center"/>
    </xf>
    <xf numFmtId="179" fontId="20" fillId="36" borderId="33" xfId="101" applyNumberFormat="1" applyFont="1" applyFill="1" applyBorder="1" applyAlignment="1">
      <alignment horizontal="right" vertical="center"/>
    </xf>
    <xf numFmtId="1" fontId="22" fillId="36" borderId="22" xfId="101" applyNumberFormat="1" applyFont="1" applyFill="1" applyBorder="1" applyAlignment="1">
      <alignment horizontal="center"/>
    </xf>
    <xf numFmtId="179" fontId="20" fillId="36" borderId="33" xfId="101" applyNumberFormat="1" applyFont="1" applyFill="1" applyBorder="1" applyAlignment="1">
      <alignment horizontal="right"/>
    </xf>
    <xf numFmtId="0" fontId="22" fillId="36" borderId="33" xfId="101" applyNumberFormat="1" applyFont="1" applyFill="1" applyBorder="1" applyAlignment="1">
      <alignment horizontal="center"/>
    </xf>
    <xf numFmtId="179" fontId="20" fillId="36" borderId="22" xfId="101" applyNumberFormat="1" applyFont="1" applyFill="1" applyBorder="1" applyAlignment="1">
      <alignment horizontal="right"/>
    </xf>
    <xf numFmtId="1" fontId="22" fillId="36" borderId="38" xfId="101" applyNumberFormat="1" applyFont="1" applyFill="1" applyBorder="1" applyAlignment="1">
      <alignment horizontal="center"/>
    </xf>
    <xf numFmtId="0" fontId="22" fillId="36" borderId="22" xfId="101" applyNumberFormat="1" applyFont="1" applyFill="1" applyBorder="1" applyAlignment="1">
      <alignment horizontal="center"/>
    </xf>
    <xf numFmtId="0" fontId="22" fillId="36" borderId="38" xfId="101" applyNumberFormat="1" applyFont="1" applyFill="1" applyBorder="1" applyAlignment="1">
      <alignment horizontal="center"/>
    </xf>
    <xf numFmtId="2" fontId="22" fillId="36" borderId="22" xfId="101" applyNumberFormat="1" applyFont="1" applyFill="1" applyBorder="1" applyAlignment="1">
      <alignment horizontal="center"/>
    </xf>
    <xf numFmtId="179" fontId="20" fillId="36" borderId="33" xfId="0" applyNumberFormat="1" applyFont="1" applyFill="1" applyBorder="1" applyAlignment="1">
      <alignment horizontal="right"/>
    </xf>
    <xf numFmtId="179" fontId="20" fillId="43" borderId="32" xfId="0" applyNumberFormat="1" applyFont="1" applyFill="1" applyBorder="1"/>
    <xf numFmtId="0" fontId="19" fillId="0" borderId="0" xfId="0" applyFont="1" applyAlignment="1">
      <alignment horizontal="center"/>
    </xf>
    <xf numFmtId="0" fontId="22" fillId="36" borderId="40" xfId="0" applyFont="1" applyFill="1" applyBorder="1"/>
    <xf numFmtId="1" fontId="20" fillId="36" borderId="22" xfId="0" applyNumberFormat="1" applyFont="1" applyFill="1" applyBorder="1" applyAlignment="1">
      <alignment horizontal="center"/>
    </xf>
    <xf numFmtId="2" fontId="22" fillId="36" borderId="33" xfId="101" applyNumberFormat="1" applyFont="1" applyFill="1" applyBorder="1" applyAlignment="1">
      <alignment horizontal="center"/>
    </xf>
    <xf numFmtId="2" fontId="22" fillId="36" borderId="38" xfId="101" applyNumberFormat="1" applyFont="1" applyFill="1" applyBorder="1" applyAlignment="1">
      <alignment horizontal="center"/>
    </xf>
    <xf numFmtId="0" fontId="20" fillId="36" borderId="34" xfId="0" applyFont="1" applyFill="1" applyBorder="1" applyAlignment="1">
      <alignment horizontal="center"/>
    </xf>
    <xf numFmtId="0" fontId="22" fillId="36" borderId="36" xfId="0" applyFont="1" applyFill="1" applyBorder="1"/>
    <xf numFmtId="0" fontId="20" fillId="36" borderId="33" xfId="0" applyFont="1" applyFill="1" applyBorder="1" applyAlignment="1">
      <alignment horizontal="center"/>
    </xf>
    <xf numFmtId="1" fontId="22" fillId="36" borderId="38" xfId="0" applyNumberFormat="1" applyFont="1" applyFill="1" applyBorder="1" applyAlignment="1">
      <alignment horizontal="center"/>
    </xf>
    <xf numFmtId="0" fontId="19" fillId="0" borderId="19" xfId="0" applyFont="1" applyBorder="1" applyAlignment="1">
      <alignment horizontal="center"/>
    </xf>
    <xf numFmtId="0" fontId="22" fillId="36" borderId="36" xfId="0" applyFont="1" applyFill="1" applyBorder="1" applyAlignment="1">
      <alignment horizontal="left" vertical="distributed" wrapText="1" shrinkToFit="1"/>
    </xf>
    <xf numFmtId="0" fontId="22" fillId="36" borderId="36" xfId="0" applyFont="1" applyFill="1" applyBorder="1" applyAlignment="1">
      <alignment horizontal="left"/>
    </xf>
    <xf numFmtId="0" fontId="20" fillId="43" borderId="43" xfId="0" applyFont="1" applyFill="1" applyBorder="1"/>
    <xf numFmtId="0" fontId="20" fillId="43" borderId="41" xfId="0" applyFont="1" applyFill="1" applyBorder="1" applyAlignment="1">
      <alignment horizontal="center"/>
    </xf>
    <xf numFmtId="1" fontId="20" fillId="43" borderId="41" xfId="0" applyNumberFormat="1" applyFont="1" applyFill="1" applyBorder="1" applyAlignment="1">
      <alignment horizontal="center"/>
    </xf>
    <xf numFmtId="179" fontId="20" fillId="43" borderId="41" xfId="0" applyNumberFormat="1" applyFont="1" applyFill="1" applyBorder="1" applyAlignment="1">
      <alignment horizontal="right"/>
    </xf>
    <xf numFmtId="179" fontId="20" fillId="43" borderId="42" xfId="0" applyNumberFormat="1" applyFont="1" applyFill="1" applyBorder="1" applyAlignment="1">
      <alignment horizontal="right"/>
    </xf>
    <xf numFmtId="0" fontId="19" fillId="0" borderId="0" xfId="0" applyFont="1" applyBorder="1"/>
    <xf numFmtId="0" fontId="19" fillId="36" borderId="0" xfId="0" applyFont="1" applyFill="1"/>
    <xf numFmtId="164" fontId="5" fillId="33" borderId="57" xfId="89" applyFill="1" applyBorder="1" applyAlignment="1">
      <alignment vertical="center"/>
    </xf>
    <xf numFmtId="164" fontId="5" fillId="33" borderId="47" xfId="89" applyFill="1" applyBorder="1" applyAlignment="1">
      <alignment vertical="center"/>
    </xf>
    <xf numFmtId="164" fontId="5" fillId="42" borderId="14" xfId="89" applyFill="1" applyBorder="1" applyAlignment="1">
      <alignment vertical="center"/>
    </xf>
    <xf numFmtId="164" fontId="5" fillId="33" borderId="14" xfId="89" applyFill="1" applyBorder="1" applyAlignment="1">
      <alignment vertical="center"/>
    </xf>
    <xf numFmtId="164" fontId="5" fillId="42" borderId="57" xfId="89" applyFill="1" applyBorder="1" applyAlignment="1">
      <alignment vertical="center"/>
    </xf>
    <xf numFmtId="164" fontId="5" fillId="42" borderId="47" xfId="89" applyFill="1" applyBorder="1" applyAlignment="1">
      <alignment vertical="center"/>
    </xf>
    <xf numFmtId="164" fontId="5" fillId="43" borderId="53" xfId="89" applyFill="1" applyBorder="1" applyAlignment="1">
      <alignment vertical="center"/>
    </xf>
    <xf numFmtId="164" fontId="5" fillId="33" borderId="53" xfId="89" applyFill="1" applyBorder="1" applyAlignment="1">
      <alignment vertical="center"/>
    </xf>
    <xf numFmtId="164" fontId="5" fillId="33" borderId="45" xfId="89" applyFill="1" applyBorder="1" applyAlignment="1">
      <alignment vertical="center"/>
    </xf>
    <xf numFmtId="1" fontId="54" fillId="36" borderId="52" xfId="296" applyNumberFormat="1" applyFont="1" applyFill="1" applyBorder="1" applyAlignment="1">
      <alignment horizontal="center"/>
    </xf>
    <xf numFmtId="0" fontId="39" fillId="27" borderId="0" xfId="163" applyFont="1" applyFill="1" applyAlignment="1">
      <alignment horizontal="center" vertical="center" wrapText="1"/>
    </xf>
    <xf numFmtId="0" fontId="40" fillId="27" borderId="0" xfId="163" applyFont="1" applyFill="1" applyAlignment="1">
      <alignment vertical="center" wrapText="1"/>
    </xf>
    <xf numFmtId="0" fontId="39" fillId="27" borderId="39" xfId="163" applyFont="1" applyFill="1" applyBorder="1" applyAlignment="1">
      <alignment horizontal="center" vertical="center" wrapText="1"/>
    </xf>
    <xf numFmtId="0" fontId="39" fillId="27" borderId="21" xfId="163" applyFont="1" applyFill="1" applyBorder="1" applyAlignment="1">
      <alignment horizontal="center" vertical="center" wrapText="1"/>
    </xf>
    <xf numFmtId="0" fontId="40" fillId="27" borderId="40" xfId="163" applyFont="1" applyFill="1" applyBorder="1" applyAlignment="1">
      <alignment horizontal="center" vertical="center" wrapText="1"/>
    </xf>
    <xf numFmtId="0" fontId="40" fillId="0" borderId="22" xfId="163" applyFont="1" applyFill="1" applyBorder="1" applyAlignment="1">
      <alignment horizontal="left" vertical="center" wrapText="1"/>
    </xf>
    <xf numFmtId="44" fontId="40" fillId="27" borderId="0" xfId="103" applyFont="1" applyFill="1" applyAlignment="1">
      <alignment vertical="center" wrapText="1"/>
    </xf>
    <xf numFmtId="44" fontId="40" fillId="27" borderId="0" xfId="163" applyNumberFormat="1" applyFont="1" applyFill="1" applyAlignment="1">
      <alignment vertical="center" wrapText="1"/>
    </xf>
    <xf numFmtId="0" fontId="40" fillId="27" borderId="58" xfId="163" applyFont="1" applyFill="1" applyBorder="1" applyAlignment="1">
      <alignment horizontal="center" vertical="center" wrapText="1"/>
    </xf>
    <xf numFmtId="0" fontId="40" fillId="0" borderId="58" xfId="163" applyFont="1" applyFill="1" applyBorder="1" applyAlignment="1">
      <alignment horizontal="center" vertical="center" wrapText="1"/>
    </xf>
    <xf numFmtId="0" fontId="40" fillId="27" borderId="43" xfId="163" applyFont="1" applyFill="1" applyBorder="1" applyAlignment="1">
      <alignment horizontal="center" vertical="center" wrapText="1"/>
    </xf>
    <xf numFmtId="0" fontId="40" fillId="0" borderId="41" xfId="163" applyFont="1" applyFill="1" applyBorder="1" applyAlignment="1">
      <alignment horizontal="left" vertical="center" wrapText="1"/>
    </xf>
    <xf numFmtId="0" fontId="40" fillId="27" borderId="0" xfId="163" applyFont="1" applyFill="1" applyAlignment="1">
      <alignment horizontal="left" vertical="center" wrapText="1"/>
    </xf>
    <xf numFmtId="7" fontId="0" fillId="0" borderId="22" xfId="0" applyNumberFormat="1" applyBorder="1"/>
    <xf numFmtId="0" fontId="9" fillId="0" borderId="22" xfId="0" applyFont="1" applyBorder="1"/>
    <xf numFmtId="7" fontId="0" fillId="0" borderId="0" xfId="0" applyNumberFormat="1"/>
    <xf numFmtId="0" fontId="9" fillId="45" borderId="22" xfId="0" applyFont="1" applyFill="1" applyBorder="1"/>
    <xf numFmtId="0" fontId="9" fillId="37" borderId="22" xfId="0" applyFont="1" applyFill="1" applyBorder="1"/>
    <xf numFmtId="7" fontId="9" fillId="37" borderId="22" xfId="0" applyNumberFormat="1" applyFont="1" applyFill="1" applyBorder="1"/>
    <xf numFmtId="1" fontId="54" fillId="36" borderId="25" xfId="296" applyNumberFormat="1" applyFont="1" applyFill="1" applyBorder="1" applyAlignment="1">
      <alignment horizontal="center" wrapText="1"/>
    </xf>
    <xf numFmtId="0" fontId="54" fillId="0" borderId="12" xfId="0" applyFont="1" applyFill="1" applyBorder="1" applyAlignment="1">
      <alignment horizontal="center" wrapText="1"/>
    </xf>
    <xf numFmtId="164" fontId="9" fillId="38" borderId="52" xfId="89" applyFont="1" applyFill="1" applyBorder="1" applyAlignment="1">
      <alignment horizontal="center" wrapText="1"/>
    </xf>
    <xf numFmtId="0" fontId="0" fillId="0" borderId="0" xfId="0" applyAlignment="1">
      <alignment wrapText="1"/>
    </xf>
    <xf numFmtId="7" fontId="0" fillId="0" borderId="33" xfId="0" applyNumberFormat="1" applyBorder="1"/>
    <xf numFmtId="7" fontId="9" fillId="37" borderId="33" xfId="0" applyNumberFormat="1" applyFont="1" applyFill="1" applyBorder="1"/>
    <xf numFmtId="0" fontId="9" fillId="37" borderId="22" xfId="0" applyFont="1" applyFill="1" applyBorder="1" applyAlignment="1">
      <alignment horizontal="center" vertical="center" wrapText="1"/>
    </xf>
    <xf numFmtId="0" fontId="9" fillId="37" borderId="33" xfId="0" applyFont="1" applyFill="1" applyBorder="1" applyAlignment="1">
      <alignment horizontal="center" vertical="center" wrapText="1"/>
    </xf>
    <xf numFmtId="170" fontId="5" fillId="0" borderId="22" xfId="352" applyBorder="1"/>
    <xf numFmtId="170" fontId="5" fillId="37" borderId="22" xfId="352" applyFill="1" applyBorder="1"/>
    <xf numFmtId="0" fontId="54" fillId="38" borderId="25" xfId="0" applyFont="1" applyFill="1" applyBorder="1" applyAlignment="1"/>
    <xf numFmtId="0" fontId="54" fillId="38" borderId="25" xfId="0" applyFont="1" applyFill="1" applyBorder="1" applyAlignment="1">
      <alignment horizontal="center"/>
    </xf>
    <xf numFmtId="172" fontId="51" fillId="38" borderId="17" xfId="296" applyFont="1" applyFill="1" applyBorder="1" applyAlignment="1"/>
    <xf numFmtId="172" fontId="51" fillId="38" borderId="27" xfId="296" applyFont="1" applyFill="1" applyBorder="1" applyAlignment="1"/>
    <xf numFmtId="172" fontId="51" fillId="38" borderId="17" xfId="296" applyFont="1" applyFill="1" applyBorder="1" applyAlignment="1">
      <alignment horizontal="center"/>
    </xf>
    <xf numFmtId="49" fontId="54" fillId="38" borderId="25" xfId="296" applyNumberFormat="1" applyFont="1" applyFill="1" applyBorder="1" applyAlignment="1"/>
    <xf numFmtId="172" fontId="51" fillId="38" borderId="25" xfId="296" applyFont="1" applyFill="1" applyBorder="1" applyAlignment="1"/>
    <xf numFmtId="0" fontId="51" fillId="36" borderId="39" xfId="0" applyFont="1" applyFill="1" applyBorder="1"/>
    <xf numFmtId="0" fontId="51" fillId="36" borderId="21" xfId="0" applyFont="1" applyFill="1" applyBorder="1" applyAlignment="1">
      <alignment horizontal="center"/>
    </xf>
    <xf numFmtId="0" fontId="58" fillId="46" borderId="12" xfId="0" applyFont="1" applyFill="1" applyBorder="1" applyAlignment="1">
      <alignment horizontal="center" vertical="center" wrapText="1"/>
    </xf>
    <xf numFmtId="2" fontId="54" fillId="38" borderId="0" xfId="0" applyNumberFormat="1" applyFont="1" applyFill="1" applyBorder="1" applyAlignment="1">
      <alignment horizontal="center" vertical="center"/>
    </xf>
    <xf numFmtId="14" fontId="54" fillId="38" borderId="23" xfId="296" applyNumberFormat="1" applyFont="1" applyFill="1" applyBorder="1" applyAlignment="1">
      <alignment horizontal="center" vertical="center"/>
    </xf>
    <xf numFmtId="172" fontId="51" fillId="38" borderId="25" xfId="296" applyFont="1" applyFill="1" applyBorder="1" applyAlignment="1">
      <alignment horizontal="center"/>
    </xf>
    <xf numFmtId="0" fontId="0" fillId="0" borderId="23" xfId="0" applyBorder="1"/>
    <xf numFmtId="0" fontId="51" fillId="0" borderId="23" xfId="0" applyFont="1" applyFill="1" applyBorder="1"/>
    <xf numFmtId="0" fontId="0" fillId="38" borderId="25" xfId="0" applyFill="1" applyBorder="1"/>
    <xf numFmtId="0" fontId="0" fillId="38" borderId="52" xfId="0" applyFill="1" applyBorder="1"/>
    <xf numFmtId="0" fontId="54" fillId="38" borderId="59" xfId="0" applyFont="1" applyFill="1" applyBorder="1" applyAlignment="1">
      <alignment horizontal="center" vertical="center"/>
    </xf>
    <xf numFmtId="43" fontId="58" fillId="47" borderId="12" xfId="0" applyNumberFormat="1" applyFont="1" applyFill="1" applyBorder="1" applyAlignment="1">
      <alignment horizontal="center" vertical="center" wrapText="1"/>
    </xf>
    <xf numFmtId="0" fontId="51" fillId="36" borderId="0" xfId="0" applyFont="1" applyFill="1" applyBorder="1" applyAlignment="1">
      <alignment wrapText="1"/>
    </xf>
    <xf numFmtId="43" fontId="51" fillId="36" borderId="0" xfId="0" applyNumberFormat="1" applyFont="1" applyFill="1" applyBorder="1" applyAlignment="1">
      <alignment wrapText="1"/>
    </xf>
    <xf numFmtId="44" fontId="51" fillId="36" borderId="0" xfId="0" applyNumberFormat="1" applyFont="1" applyFill="1" applyBorder="1" applyAlignment="1">
      <alignment wrapText="1"/>
    </xf>
    <xf numFmtId="0" fontId="54" fillId="48" borderId="12" xfId="0" applyFont="1" applyFill="1" applyBorder="1" applyAlignment="1">
      <alignment horizontal="center" vertical="center" wrapText="1"/>
    </xf>
    <xf numFmtId="0" fontId="54" fillId="48" borderId="12" xfId="0" applyFont="1" applyFill="1" applyBorder="1" applyAlignment="1">
      <alignment vertical="center" wrapText="1"/>
    </xf>
    <xf numFmtId="0" fontId="54" fillId="49" borderId="12" xfId="0" applyFont="1" applyFill="1" applyBorder="1" applyAlignment="1">
      <alignment horizontal="center" vertical="center" wrapText="1"/>
    </xf>
    <xf numFmtId="0" fontId="39" fillId="27" borderId="22" xfId="163" applyFont="1" applyFill="1" applyBorder="1" applyAlignment="1">
      <alignment horizontal="center" vertical="center" wrapText="1"/>
    </xf>
    <xf numFmtId="0" fontId="40" fillId="40" borderId="22" xfId="163" applyFont="1" applyFill="1" applyBorder="1" applyAlignment="1">
      <alignment vertical="center" wrapText="1"/>
    </xf>
    <xf numFmtId="0" fontId="40" fillId="40" borderId="41" xfId="163" applyFont="1" applyFill="1" applyBorder="1" applyAlignment="1">
      <alignment vertical="center" wrapText="1"/>
    </xf>
    <xf numFmtId="0" fontId="40" fillId="40" borderId="60" xfId="163" applyFont="1" applyFill="1" applyBorder="1" applyAlignment="1">
      <alignment vertical="center" wrapText="1"/>
    </xf>
    <xf numFmtId="0" fontId="39" fillId="27" borderId="29" xfId="163" applyFont="1" applyFill="1" applyBorder="1" applyAlignment="1">
      <alignment horizontal="center" vertical="center" wrapText="1"/>
    </xf>
    <xf numFmtId="0" fontId="39" fillId="28" borderId="30" xfId="163" applyFont="1" applyFill="1" applyBorder="1" applyAlignment="1">
      <alignment horizontal="center" vertical="center" wrapText="1"/>
    </xf>
    <xf numFmtId="0" fontId="39" fillId="27" borderId="61" xfId="163" applyFont="1" applyFill="1" applyBorder="1" applyAlignment="1">
      <alignment horizontal="center" vertical="center" wrapText="1"/>
    </xf>
    <xf numFmtId="0" fontId="40" fillId="27" borderId="62" xfId="163" applyFont="1" applyFill="1" applyBorder="1" applyAlignment="1">
      <alignment vertical="center" wrapText="1"/>
    </xf>
    <xf numFmtId="44" fontId="40" fillId="27" borderId="62" xfId="103" applyFont="1" applyFill="1" applyBorder="1" applyAlignment="1">
      <alignment vertical="center" wrapText="1"/>
    </xf>
    <xf numFmtId="0" fontId="40" fillId="27" borderId="63" xfId="163" applyFont="1" applyFill="1" applyBorder="1" applyAlignment="1">
      <alignment vertical="center" wrapText="1"/>
    </xf>
    <xf numFmtId="172" fontId="39" fillId="27" borderId="64" xfId="293" applyFont="1" applyFill="1" applyBorder="1" applyAlignment="1">
      <alignment horizontal="center" vertical="center" wrapText="1"/>
    </xf>
    <xf numFmtId="44" fontId="40" fillId="36" borderId="65" xfId="103" applyFont="1" applyFill="1" applyBorder="1" applyAlignment="1">
      <alignment vertical="center" wrapText="1"/>
    </xf>
    <xf numFmtId="44" fontId="40" fillId="36" borderId="66" xfId="103" applyFont="1" applyFill="1" applyBorder="1" applyAlignment="1">
      <alignment vertical="center" wrapText="1"/>
    </xf>
    <xf numFmtId="44" fontId="40" fillId="36" borderId="67" xfId="103" applyFont="1" applyFill="1" applyBorder="1" applyAlignment="1">
      <alignment vertical="center" wrapText="1"/>
    </xf>
    <xf numFmtId="44" fontId="40" fillId="27" borderId="0" xfId="163" applyNumberFormat="1" applyFont="1" applyFill="1" applyBorder="1" applyAlignment="1">
      <alignment vertical="center" wrapText="1"/>
    </xf>
    <xf numFmtId="22" fontId="41" fillId="28" borderId="68" xfId="163" applyNumberFormat="1" applyFont="1" applyFill="1" applyBorder="1" applyAlignment="1">
      <alignment vertical="center" wrapText="1"/>
    </xf>
    <xf numFmtId="44" fontId="41" fillId="28" borderId="69" xfId="103" applyFont="1" applyFill="1" applyBorder="1" applyAlignment="1">
      <alignment vertical="center" wrapText="1"/>
    </xf>
    <xf numFmtId="44" fontId="41" fillId="28" borderId="70" xfId="103" applyFont="1" applyFill="1" applyBorder="1" applyAlignment="1">
      <alignment vertical="center" wrapText="1"/>
    </xf>
    <xf numFmtId="0" fontId="40" fillId="27" borderId="0" xfId="163" applyFont="1" applyFill="1" applyBorder="1" applyAlignment="1">
      <alignment vertical="center" wrapText="1"/>
    </xf>
    <xf numFmtId="7" fontId="51" fillId="0" borderId="21" xfId="0" applyNumberFormat="1" applyFont="1" applyFill="1" applyBorder="1" applyAlignment="1"/>
    <xf numFmtId="0" fontId="54" fillId="36" borderId="52" xfId="0" applyFont="1" applyFill="1" applyBorder="1" applyAlignment="1">
      <alignment horizontal="center"/>
    </xf>
    <xf numFmtId="172" fontId="51" fillId="0" borderId="18" xfId="296" applyFont="1" applyFill="1" applyBorder="1" applyAlignment="1">
      <alignment horizontal="center"/>
    </xf>
    <xf numFmtId="0" fontId="54" fillId="0" borderId="24" xfId="0" applyFont="1" applyFill="1" applyBorder="1" applyAlignment="1">
      <alignment horizontal="center" vertical="center" wrapText="1"/>
    </xf>
    <xf numFmtId="0" fontId="54" fillId="0" borderId="25" xfId="0" applyFont="1" applyFill="1" applyBorder="1" applyAlignment="1">
      <alignment horizontal="center" vertical="center" wrapText="1"/>
    </xf>
    <xf numFmtId="0" fontId="54" fillId="0" borderId="52" xfId="0" applyFont="1" applyFill="1" applyBorder="1" applyAlignment="1">
      <alignment horizontal="center" vertical="center" wrapText="1"/>
    </xf>
    <xf numFmtId="0" fontId="54" fillId="0" borderId="52" xfId="0" applyNumberFormat="1" applyFont="1" applyFill="1" applyBorder="1" applyAlignment="1">
      <alignment horizontal="center" vertical="center" wrapText="1"/>
    </xf>
    <xf numFmtId="0" fontId="54" fillId="0" borderId="24" xfId="0" applyNumberFormat="1" applyFont="1" applyFill="1" applyBorder="1" applyAlignment="1">
      <alignment horizontal="center" vertical="center" wrapText="1"/>
    </xf>
    <xf numFmtId="0" fontId="59" fillId="0" borderId="24" xfId="248" applyFont="1" applyFill="1" applyBorder="1" applyAlignment="1">
      <alignment horizontal="center" vertical="center" wrapText="1" shrinkToFit="1"/>
    </xf>
    <xf numFmtId="0" fontId="59" fillId="0" borderId="25" xfId="248" applyFont="1" applyFill="1" applyBorder="1" applyAlignment="1">
      <alignment horizontal="center" vertical="center" wrapText="1" shrinkToFit="1"/>
    </xf>
    <xf numFmtId="0" fontId="59" fillId="0" borderId="52" xfId="248" applyFont="1" applyFill="1" applyBorder="1" applyAlignment="1">
      <alignment horizontal="center" vertical="center" wrapText="1" shrinkToFit="1"/>
    </xf>
    <xf numFmtId="0" fontId="54" fillId="0" borderId="12" xfId="0" applyFont="1" applyFill="1" applyBorder="1" applyAlignment="1">
      <alignment vertical="center" wrapText="1"/>
    </xf>
    <xf numFmtId="0" fontId="54" fillId="0" borderId="12" xfId="0" applyFont="1" applyFill="1" applyBorder="1" applyAlignment="1">
      <alignment horizontal="center" vertical="center" wrapText="1"/>
    </xf>
    <xf numFmtId="164" fontId="54" fillId="0" borderId="12" xfId="89" applyFont="1" applyFill="1" applyBorder="1" applyAlignment="1">
      <alignment horizontal="center" vertical="center" wrapText="1"/>
    </xf>
    <xf numFmtId="44" fontId="60" fillId="0" borderId="0" xfId="0" applyNumberFormat="1" applyFont="1" applyFill="1" applyBorder="1" applyAlignment="1">
      <alignment horizontal="left" vertical="center" wrapText="1"/>
    </xf>
    <xf numFmtId="0" fontId="49" fillId="0" borderId="0" xfId="0" applyFont="1" applyFill="1" applyAlignment="1">
      <alignment horizontal="center" vertical="center" wrapText="1"/>
    </xf>
    <xf numFmtId="0" fontId="54" fillId="50" borderId="51" xfId="0" applyFont="1" applyFill="1" applyBorder="1" applyAlignment="1">
      <alignment horizontal="center" vertical="center" wrapText="1"/>
    </xf>
    <xf numFmtId="14" fontId="54" fillId="0" borderId="0" xfId="0" applyNumberFormat="1" applyFont="1" applyBorder="1" applyAlignment="1">
      <alignment horizontal="center"/>
    </xf>
    <xf numFmtId="0" fontId="54" fillId="51" borderId="51" xfId="0" applyFont="1" applyFill="1" applyBorder="1" applyAlignment="1">
      <alignment horizontal="center" vertical="center" wrapText="1"/>
    </xf>
    <xf numFmtId="0" fontId="54" fillId="48" borderId="51" xfId="0" applyNumberFormat="1" applyFont="1" applyFill="1" applyBorder="1" applyAlignment="1">
      <alignment horizontal="center" vertical="center" wrapText="1"/>
    </xf>
    <xf numFmtId="0" fontId="54" fillId="52" borderId="51" xfId="0" applyNumberFormat="1" applyFont="1" applyFill="1" applyBorder="1" applyAlignment="1">
      <alignment horizontal="center" vertical="center" wrapText="1"/>
    </xf>
    <xf numFmtId="0" fontId="54" fillId="48" borderId="51" xfId="0" applyFont="1" applyFill="1" applyBorder="1" applyAlignment="1">
      <alignment horizontal="center" vertical="center" wrapText="1"/>
    </xf>
    <xf numFmtId="0" fontId="54" fillId="52" borderId="51" xfId="0" applyFont="1" applyFill="1" applyBorder="1" applyAlignment="1">
      <alignment horizontal="center" vertical="center" wrapText="1"/>
    </xf>
    <xf numFmtId="0" fontId="54" fillId="53" borderId="51" xfId="0" applyFont="1" applyFill="1" applyBorder="1" applyAlignment="1">
      <alignment horizontal="center" vertical="center" wrapText="1"/>
    </xf>
    <xf numFmtId="0" fontId="54" fillId="37" borderId="51" xfId="0" applyFont="1" applyFill="1" applyBorder="1" applyAlignment="1">
      <alignment horizontal="center" vertical="center" wrapText="1"/>
    </xf>
    <xf numFmtId="0" fontId="54" fillId="49" borderId="51" xfId="0" applyFont="1" applyFill="1" applyBorder="1" applyAlignment="1">
      <alignment horizontal="center" vertical="center" wrapText="1"/>
    </xf>
    <xf numFmtId="0" fontId="54" fillId="31" borderId="51" xfId="0" applyFont="1" applyFill="1" applyBorder="1" applyAlignment="1">
      <alignment horizontal="center" vertical="center" wrapText="1"/>
    </xf>
    <xf numFmtId="164" fontId="51" fillId="0" borderId="21" xfId="89" applyFont="1" applyFill="1" applyBorder="1" applyAlignment="1"/>
    <xf numFmtId="0" fontId="54" fillId="0" borderId="71" xfId="0" applyFont="1" applyFill="1" applyBorder="1" applyAlignment="1">
      <alignment vertical="center" wrapText="1"/>
    </xf>
    <xf numFmtId="0" fontId="54" fillId="0" borderId="72" xfId="0" applyFont="1" applyFill="1" applyBorder="1" applyAlignment="1">
      <alignment vertical="center" wrapText="1"/>
    </xf>
    <xf numFmtId="10" fontId="54" fillId="0" borderId="72" xfId="0" applyNumberFormat="1" applyFont="1" applyFill="1" applyBorder="1" applyAlignment="1">
      <alignment vertical="center" wrapText="1"/>
    </xf>
    <xf numFmtId="10" fontId="54" fillId="0" borderId="72" xfId="0" applyNumberFormat="1" applyFont="1" applyFill="1" applyBorder="1" applyAlignment="1">
      <alignment horizontal="center" vertical="center" wrapText="1"/>
    </xf>
    <xf numFmtId="0" fontId="54" fillId="0" borderId="25" xfId="0" applyFont="1" applyFill="1" applyBorder="1" applyAlignment="1">
      <alignment vertical="center" wrapText="1"/>
    </xf>
    <xf numFmtId="0" fontId="54" fillId="0" borderId="52" xfId="0" applyFont="1" applyFill="1" applyBorder="1" applyAlignment="1">
      <alignment vertical="center" wrapText="1"/>
    </xf>
    <xf numFmtId="164" fontId="51" fillId="49" borderId="12" xfId="89" applyFont="1" applyFill="1" applyBorder="1" applyAlignment="1">
      <alignment horizontal="center" vertical="center"/>
    </xf>
    <xf numFmtId="0" fontId="0" fillId="0" borderId="0" xfId="0" applyAlignment="1">
      <alignment horizontal="center"/>
    </xf>
    <xf numFmtId="0" fontId="51" fillId="0" borderId="0" xfId="163" applyFont="1" applyFill="1" applyAlignment="1">
      <alignment vertical="center"/>
    </xf>
    <xf numFmtId="0" fontId="51" fillId="0" borderId="0" xfId="0" applyFont="1" applyFill="1"/>
    <xf numFmtId="10" fontId="61" fillId="0" borderId="12" xfId="0" applyNumberFormat="1" applyFont="1" applyFill="1" applyBorder="1" applyAlignment="1">
      <alignment horizontal="center" vertical="center" wrapText="1"/>
    </xf>
    <xf numFmtId="0" fontId="51" fillId="0" borderId="0" xfId="0" applyFont="1" applyFill="1" applyAlignment="1">
      <alignment horizontal="center"/>
    </xf>
    <xf numFmtId="44" fontId="58" fillId="46" borderId="12" xfId="0" applyNumberFormat="1" applyFont="1" applyFill="1" applyBorder="1" applyAlignment="1">
      <alignment horizontal="center" vertical="center" wrapText="1"/>
    </xf>
    <xf numFmtId="43" fontId="58" fillId="49" borderId="12" xfId="0" applyNumberFormat="1" applyFont="1" applyFill="1" applyBorder="1" applyAlignment="1">
      <alignment horizontal="center" vertical="center" wrapText="1"/>
    </xf>
    <xf numFmtId="164" fontId="51" fillId="0" borderId="0" xfId="89" applyFont="1" applyFill="1" applyBorder="1" applyAlignment="1"/>
    <xf numFmtId="164" fontId="12" fillId="36" borderId="21" xfId="89" applyFont="1" applyFill="1" applyBorder="1" applyAlignment="1"/>
    <xf numFmtId="2" fontId="54" fillId="0" borderId="23" xfId="0" applyNumberFormat="1" applyFont="1" applyBorder="1" applyAlignment="1" applyProtection="1">
      <alignment horizontal="left" vertical="center" wrapText="1"/>
    </xf>
    <xf numFmtId="0" fontId="58" fillId="47" borderId="12" xfId="0" applyFont="1" applyFill="1" applyBorder="1" applyAlignment="1">
      <alignment horizontal="center" vertical="center" wrapText="1"/>
    </xf>
    <xf numFmtId="0" fontId="58" fillId="49" borderId="12" xfId="0" applyFont="1" applyFill="1" applyBorder="1" applyAlignment="1">
      <alignment horizontal="center" vertical="center" wrapText="1"/>
    </xf>
    <xf numFmtId="172" fontId="54" fillId="24" borderId="52" xfId="296" applyFont="1" applyFill="1" applyBorder="1" applyAlignment="1">
      <alignment horizontal="center" wrapText="1"/>
    </xf>
    <xf numFmtId="0" fontId="51" fillId="0" borderId="0" xfId="0" applyFont="1" applyFill="1" applyBorder="1" applyAlignment="1">
      <alignment horizontal="left" wrapText="1"/>
    </xf>
    <xf numFmtId="0" fontId="48" fillId="0" borderId="22" xfId="0" applyFont="1" applyBorder="1" applyAlignment="1">
      <alignment horizontal="center" vertical="center" wrapText="1"/>
    </xf>
    <xf numFmtId="0" fontId="48" fillId="0" borderId="22" xfId="0" applyFont="1" applyBorder="1"/>
    <xf numFmtId="0" fontId="47" fillId="0" borderId="22" xfId="0" applyFont="1" applyBorder="1" applyAlignment="1">
      <alignment horizontal="center"/>
    </xf>
    <xf numFmtId="0" fontId="62" fillId="0" borderId="22" xfId="0" applyFont="1" applyBorder="1" applyAlignment="1">
      <alignment horizontal="center"/>
    </xf>
    <xf numFmtId="0" fontId="48" fillId="0" borderId="22" xfId="0" applyFont="1" applyBorder="1" applyAlignment="1">
      <alignment vertical="center"/>
    </xf>
    <xf numFmtId="0" fontId="47" fillId="0" borderId="22" xfId="0" applyFont="1" applyBorder="1" applyAlignment="1">
      <alignment horizontal="center" vertical="center"/>
    </xf>
    <xf numFmtId="0" fontId="62" fillId="0" borderId="22" xfId="0" applyFont="1" applyBorder="1" applyAlignment="1">
      <alignment horizontal="center" vertical="center" wrapText="1"/>
    </xf>
    <xf numFmtId="0" fontId="48" fillId="0" borderId="35" xfId="0" applyFont="1" applyBorder="1"/>
    <xf numFmtId="0" fontId="0" fillId="0" borderId="35" xfId="0" applyBorder="1" applyAlignment="1">
      <alignment horizontal="center"/>
    </xf>
    <xf numFmtId="0" fontId="62" fillId="0" borderId="35" xfId="0" applyFont="1" applyBorder="1" applyAlignment="1">
      <alignment horizontal="center"/>
    </xf>
    <xf numFmtId="0" fontId="48" fillId="54" borderId="12" xfId="0" applyFont="1" applyFill="1" applyBorder="1" applyAlignment="1">
      <alignment horizontal="center"/>
    </xf>
    <xf numFmtId="0" fontId="48" fillId="54" borderId="52" xfId="0" applyFont="1" applyFill="1" applyBorder="1" applyAlignment="1">
      <alignment horizontal="center"/>
    </xf>
    <xf numFmtId="0" fontId="48" fillId="51" borderId="12" xfId="0" applyFont="1" applyFill="1" applyBorder="1" applyAlignment="1">
      <alignment horizontal="center"/>
    </xf>
    <xf numFmtId="0" fontId="48" fillId="51" borderId="52" xfId="0" applyFont="1" applyFill="1" applyBorder="1" applyAlignment="1">
      <alignment horizontal="center"/>
    </xf>
    <xf numFmtId="0" fontId="48" fillId="32" borderId="12" xfId="0" applyFont="1" applyFill="1" applyBorder="1" applyAlignment="1">
      <alignment horizontal="center"/>
    </xf>
    <xf numFmtId="0" fontId="48" fillId="32" borderId="52" xfId="0" applyFont="1" applyFill="1" applyBorder="1" applyAlignment="1">
      <alignment horizontal="center"/>
    </xf>
    <xf numFmtId="0" fontId="0" fillId="0" borderId="0" xfId="0" applyAlignment="1">
      <alignment horizontal="left"/>
    </xf>
    <xf numFmtId="0" fontId="51" fillId="0" borderId="73" xfId="0" applyFont="1" applyFill="1" applyBorder="1" applyAlignment="1">
      <alignment horizontal="center"/>
    </xf>
    <xf numFmtId="0" fontId="0" fillId="0" borderId="0" xfId="0" applyBorder="1"/>
    <xf numFmtId="49" fontId="63" fillId="0" borderId="0" xfId="238" applyNumberFormat="1" applyFont="1" applyAlignment="1"/>
    <xf numFmtId="164" fontId="5" fillId="0" borderId="0" xfId="89"/>
    <xf numFmtId="164" fontId="12" fillId="0" borderId="21" xfId="89" applyFont="1" applyFill="1" applyBorder="1" applyAlignment="1"/>
    <xf numFmtId="164" fontId="12" fillId="0" borderId="28" xfId="89" applyFont="1" applyFill="1" applyBorder="1" applyAlignment="1"/>
    <xf numFmtId="164" fontId="12" fillId="36" borderId="0" xfId="89" applyFont="1" applyFill="1" applyBorder="1" applyAlignment="1"/>
    <xf numFmtId="44" fontId="60" fillId="29" borderId="19" xfId="0" applyNumberFormat="1" applyFont="1" applyFill="1" applyBorder="1" applyAlignment="1">
      <alignment horizontal="left" vertical="center" wrapText="1"/>
    </xf>
    <xf numFmtId="164" fontId="5" fillId="0" borderId="0" xfId="89" applyFill="1"/>
    <xf numFmtId="164" fontId="51" fillId="0" borderId="0" xfId="0" applyNumberFormat="1" applyFont="1" applyFill="1" applyBorder="1"/>
    <xf numFmtId="164" fontId="51" fillId="0" borderId="0" xfId="0" applyNumberFormat="1" applyFont="1" applyFill="1"/>
    <xf numFmtId="179" fontId="51" fillId="0" borderId="0" xfId="0" applyNumberFormat="1" applyFont="1" applyFill="1"/>
    <xf numFmtId="179" fontId="51" fillId="0" borderId="0" xfId="0" applyNumberFormat="1" applyFont="1" applyFill="1" applyBorder="1"/>
    <xf numFmtId="0" fontId="51" fillId="36" borderId="22" xfId="0" applyFont="1" applyFill="1" applyBorder="1"/>
    <xf numFmtId="10" fontId="12" fillId="36" borderId="74" xfId="254" applyNumberFormat="1" applyFont="1" applyFill="1" applyBorder="1" applyAlignment="1">
      <alignment horizontal="center"/>
    </xf>
    <xf numFmtId="10" fontId="51" fillId="36" borderId="21" xfId="0" applyNumberFormat="1" applyFont="1" applyFill="1" applyBorder="1" applyAlignment="1">
      <alignment horizontal="center"/>
    </xf>
    <xf numFmtId="0" fontId="51" fillId="36" borderId="22" xfId="0" applyFont="1" applyFill="1" applyBorder="1" applyAlignment="1">
      <alignment horizontal="center"/>
    </xf>
    <xf numFmtId="0" fontId="51" fillId="36" borderId="22" xfId="0" applyNumberFormat="1" applyFont="1" applyFill="1" applyBorder="1" applyAlignment="1">
      <alignment horizontal="left"/>
    </xf>
    <xf numFmtId="0" fontId="51" fillId="36" borderId="22" xfId="0" applyNumberFormat="1" applyFont="1" applyFill="1" applyBorder="1" applyAlignment="1"/>
    <xf numFmtId="49" fontId="51" fillId="36" borderId="22" xfId="0" applyNumberFormat="1" applyFont="1" applyFill="1" applyBorder="1" applyAlignment="1">
      <alignment horizontal="center"/>
    </xf>
    <xf numFmtId="7" fontId="51" fillId="36" borderId="22" xfId="0" applyNumberFormat="1" applyFont="1" applyFill="1" applyBorder="1" applyAlignment="1"/>
    <xf numFmtId="7" fontId="51" fillId="36" borderId="21" xfId="0" applyNumberFormat="1" applyFont="1" applyFill="1" applyBorder="1" applyAlignment="1"/>
    <xf numFmtId="0" fontId="51" fillId="36" borderId="22" xfId="0" applyNumberFormat="1" applyFont="1" applyFill="1" applyBorder="1" applyAlignment="1">
      <alignment horizontal="center"/>
    </xf>
    <xf numFmtId="0" fontId="51" fillId="36" borderId="73" xfId="0" applyNumberFormat="1" applyFont="1" applyFill="1" applyBorder="1" applyAlignment="1">
      <alignment horizontal="center"/>
    </xf>
    <xf numFmtId="164" fontId="51" fillId="36" borderId="21" xfId="89" applyFont="1" applyFill="1" applyBorder="1" applyAlignment="1"/>
    <xf numFmtId="7" fontId="51" fillId="36" borderId="31" xfId="0" applyNumberFormat="1" applyFont="1" applyFill="1" applyBorder="1" applyAlignment="1"/>
    <xf numFmtId="164" fontId="51" fillId="36" borderId="73" xfId="89" applyFont="1" applyFill="1" applyBorder="1" applyAlignment="1"/>
    <xf numFmtId="0" fontId="51" fillId="36" borderId="0" xfId="163" applyFont="1" applyFill="1" applyAlignment="1">
      <alignment vertical="center"/>
    </xf>
    <xf numFmtId="0" fontId="51" fillId="36" borderId="0" xfId="0" applyFont="1" applyFill="1"/>
    <xf numFmtId="49" fontId="51" fillId="36" borderId="21" xfId="0" applyNumberFormat="1" applyFont="1" applyFill="1" applyBorder="1" applyAlignment="1">
      <alignment horizontal="center"/>
    </xf>
    <xf numFmtId="0" fontId="0" fillId="0" borderId="22" xfId="0" applyBorder="1"/>
    <xf numFmtId="0" fontId="9" fillId="43" borderId="22" xfId="0" applyFont="1" applyFill="1" applyBorder="1" applyAlignment="1">
      <alignment horizontal="center" vertical="center" wrapText="1"/>
    </xf>
    <xf numFmtId="0" fontId="0" fillId="0" borderId="0" xfId="0" applyAlignment="1">
      <alignment vertical="center" wrapText="1"/>
    </xf>
    <xf numFmtId="43" fontId="0" fillId="0" borderId="22" xfId="0" applyNumberFormat="1" applyBorder="1"/>
    <xf numFmtId="184" fontId="51" fillId="36" borderId="21" xfId="352" applyNumberFormat="1" applyFont="1" applyFill="1" applyBorder="1" applyAlignment="1"/>
    <xf numFmtId="184" fontId="51" fillId="36" borderId="22" xfId="352" applyNumberFormat="1" applyFont="1" applyFill="1" applyBorder="1" applyAlignment="1">
      <alignment horizontal="center"/>
    </xf>
    <xf numFmtId="184" fontId="51" fillId="36" borderId="21" xfId="352" applyNumberFormat="1" applyFont="1" applyFill="1" applyBorder="1" applyAlignment="1">
      <alignment horizontal="center"/>
    </xf>
    <xf numFmtId="7" fontId="51" fillId="40" borderId="21" xfId="0" applyNumberFormat="1" applyFont="1" applyFill="1" applyBorder="1" applyAlignment="1"/>
    <xf numFmtId="164" fontId="51" fillId="40" borderId="21" xfId="89" applyFont="1" applyFill="1" applyBorder="1" applyAlignment="1"/>
    <xf numFmtId="164" fontId="51" fillId="40" borderId="22" xfId="89" applyFont="1" applyFill="1" applyBorder="1" applyAlignment="1"/>
    <xf numFmtId="0" fontId="54" fillId="40" borderId="22" xfId="0" applyFont="1" applyFill="1" applyBorder="1"/>
    <xf numFmtId="10" fontId="45" fillId="40" borderId="75" xfId="254" applyNumberFormat="1" applyFont="1" applyFill="1" applyBorder="1" applyAlignment="1">
      <alignment horizontal="center"/>
    </xf>
    <xf numFmtId="10" fontId="54" fillId="40" borderId="21" xfId="0" applyNumberFormat="1" applyFont="1" applyFill="1" applyBorder="1" applyAlignment="1">
      <alignment horizontal="center"/>
    </xf>
    <xf numFmtId="0" fontId="54" fillId="40" borderId="22" xfId="0" applyFont="1" applyFill="1" applyBorder="1" applyAlignment="1">
      <alignment horizontal="center"/>
    </xf>
    <xf numFmtId="0" fontId="54" fillId="40" borderId="22" xfId="0" applyNumberFormat="1" applyFont="1" applyFill="1" applyBorder="1" applyAlignment="1">
      <alignment horizontal="left"/>
    </xf>
    <xf numFmtId="0" fontId="54" fillId="40" borderId="22" xfId="0" applyNumberFormat="1" applyFont="1" applyFill="1" applyBorder="1" applyAlignment="1"/>
    <xf numFmtId="49" fontId="54" fillId="40" borderId="22" xfId="0" applyNumberFormat="1" applyFont="1" applyFill="1" applyBorder="1" applyAlignment="1"/>
    <xf numFmtId="49" fontId="54" fillId="40" borderId="22" xfId="0" applyNumberFormat="1" applyFont="1" applyFill="1" applyBorder="1" applyAlignment="1">
      <alignment horizontal="center"/>
    </xf>
    <xf numFmtId="7" fontId="54" fillId="40" borderId="22" xfId="0" applyNumberFormat="1" applyFont="1" applyFill="1" applyBorder="1" applyAlignment="1"/>
    <xf numFmtId="7" fontId="54" fillId="40" borderId="21" xfId="0" applyNumberFormat="1" applyFont="1" applyFill="1" applyBorder="1" applyAlignment="1"/>
    <xf numFmtId="184" fontId="54" fillId="40" borderId="21" xfId="352" applyNumberFormat="1" applyFont="1" applyFill="1" applyBorder="1" applyAlignment="1"/>
    <xf numFmtId="0" fontId="54" fillId="40" borderId="22" xfId="0" applyNumberFormat="1" applyFont="1" applyFill="1" applyBorder="1" applyAlignment="1">
      <alignment horizontal="center"/>
    </xf>
    <xf numFmtId="0" fontId="54" fillId="40" borderId="73" xfId="0" applyNumberFormat="1" applyFont="1" applyFill="1" applyBorder="1" applyAlignment="1">
      <alignment horizontal="center"/>
    </xf>
    <xf numFmtId="164" fontId="54" fillId="40" borderId="21" xfId="89" applyFont="1" applyFill="1" applyBorder="1" applyAlignment="1"/>
    <xf numFmtId="7" fontId="54" fillId="40" borderId="31" xfId="0" applyNumberFormat="1" applyFont="1" applyFill="1" applyBorder="1" applyAlignment="1"/>
    <xf numFmtId="164" fontId="54" fillId="40" borderId="73" xfId="89" applyFont="1" applyFill="1" applyBorder="1" applyAlignment="1"/>
    <xf numFmtId="164" fontId="54" fillId="40" borderId="22" xfId="89" applyFont="1" applyFill="1" applyBorder="1" applyAlignment="1"/>
    <xf numFmtId="0" fontId="54" fillId="36" borderId="0" xfId="163" applyFont="1" applyFill="1" applyAlignment="1">
      <alignment vertical="center"/>
    </xf>
    <xf numFmtId="0" fontId="54" fillId="36" borderId="0" xfId="0" applyFont="1" applyFill="1"/>
    <xf numFmtId="0" fontId="51" fillId="45" borderId="22" xfId="0" applyFont="1" applyFill="1" applyBorder="1"/>
    <xf numFmtId="0" fontId="51" fillId="45" borderId="22" xfId="0" applyFont="1" applyFill="1" applyBorder="1" applyAlignment="1">
      <alignment horizontal="center"/>
    </xf>
    <xf numFmtId="0" fontId="51" fillId="45" borderId="22" xfId="0" applyNumberFormat="1" applyFont="1" applyFill="1" applyBorder="1" applyAlignment="1">
      <alignment horizontal="left"/>
    </xf>
    <xf numFmtId="0" fontId="51" fillId="45" borderId="22" xfId="0" applyNumberFormat="1" applyFont="1" applyFill="1" applyBorder="1" applyAlignment="1"/>
    <xf numFmtId="49" fontId="51" fillId="45" borderId="22" xfId="0" applyNumberFormat="1" applyFont="1" applyFill="1" applyBorder="1" applyAlignment="1"/>
    <xf numFmtId="49" fontId="51" fillId="45" borderId="22" xfId="0" applyNumberFormat="1" applyFont="1" applyFill="1" applyBorder="1" applyAlignment="1">
      <alignment horizontal="center"/>
    </xf>
    <xf numFmtId="7" fontId="51" fillId="45" borderId="22" xfId="0" applyNumberFormat="1" applyFont="1" applyFill="1" applyBorder="1" applyAlignment="1"/>
    <xf numFmtId="7" fontId="51" fillId="45" borderId="21" xfId="0" applyNumberFormat="1" applyFont="1" applyFill="1" applyBorder="1" applyAlignment="1"/>
    <xf numFmtId="184" fontId="51" fillId="45" borderId="21" xfId="352" applyNumberFormat="1" applyFont="1" applyFill="1" applyBorder="1" applyAlignment="1"/>
    <xf numFmtId="0" fontId="51" fillId="45" borderId="22" xfId="0" applyNumberFormat="1" applyFont="1" applyFill="1" applyBorder="1" applyAlignment="1">
      <alignment horizontal="center"/>
    </xf>
    <xf numFmtId="0" fontId="51" fillId="45" borderId="73" xfId="0" applyNumberFormat="1" applyFont="1" applyFill="1" applyBorder="1" applyAlignment="1">
      <alignment horizontal="center"/>
    </xf>
    <xf numFmtId="164" fontId="51" fillId="45" borderId="21" xfId="89" applyFont="1" applyFill="1" applyBorder="1" applyAlignment="1"/>
    <xf numFmtId="7" fontId="51" fillId="45" borderId="31" xfId="0" applyNumberFormat="1" applyFont="1" applyFill="1" applyBorder="1" applyAlignment="1"/>
    <xf numFmtId="164" fontId="51" fillId="45" borderId="73" xfId="89" applyFont="1" applyFill="1" applyBorder="1" applyAlignment="1"/>
    <xf numFmtId="0" fontId="51" fillId="45" borderId="0" xfId="163" applyFont="1" applyFill="1" applyAlignment="1">
      <alignment vertical="center"/>
    </xf>
    <xf numFmtId="0" fontId="51" fillId="45" borderId="0" xfId="0" applyFont="1" applyFill="1"/>
    <xf numFmtId="49" fontId="51" fillId="45" borderId="21" xfId="0" applyNumberFormat="1" applyFont="1" applyFill="1" applyBorder="1" applyAlignment="1">
      <alignment horizontal="center"/>
    </xf>
    <xf numFmtId="49" fontId="51" fillId="45" borderId="21" xfId="0" applyNumberFormat="1" applyFont="1" applyFill="1" applyBorder="1" applyAlignment="1"/>
    <xf numFmtId="0" fontId="51" fillId="55" borderId="22" xfId="0" applyFont="1" applyFill="1" applyBorder="1"/>
    <xf numFmtId="0" fontId="51" fillId="55" borderId="22" xfId="0" applyFont="1" applyFill="1" applyBorder="1" applyAlignment="1">
      <alignment horizontal="center"/>
    </xf>
    <xf numFmtId="0" fontId="51" fillId="55" borderId="22" xfId="0" applyNumberFormat="1" applyFont="1" applyFill="1" applyBorder="1" applyAlignment="1">
      <alignment horizontal="left"/>
    </xf>
    <xf numFmtId="0" fontId="51" fillId="55" borderId="22" xfId="0" applyNumberFormat="1" applyFont="1" applyFill="1" applyBorder="1" applyAlignment="1"/>
    <xf numFmtId="49" fontId="51" fillId="55" borderId="22" xfId="0" applyNumberFormat="1" applyFont="1" applyFill="1" applyBorder="1" applyAlignment="1"/>
    <xf numFmtId="49" fontId="51" fillId="55" borderId="22" xfId="0" applyNumberFormat="1" applyFont="1" applyFill="1" applyBorder="1" applyAlignment="1">
      <alignment horizontal="center"/>
    </xf>
    <xf numFmtId="7" fontId="51" fillId="55" borderId="22" xfId="0" applyNumberFormat="1" applyFont="1" applyFill="1" applyBorder="1" applyAlignment="1"/>
    <xf numFmtId="7" fontId="51" fillId="55" borderId="21" xfId="0" applyNumberFormat="1" applyFont="1" applyFill="1" applyBorder="1" applyAlignment="1"/>
    <xf numFmtId="184" fontId="51" fillId="55" borderId="21" xfId="352" applyNumberFormat="1" applyFont="1" applyFill="1" applyBorder="1" applyAlignment="1"/>
    <xf numFmtId="0" fontId="51" fillId="55" borderId="22" xfId="0" applyNumberFormat="1" applyFont="1" applyFill="1" applyBorder="1" applyAlignment="1">
      <alignment horizontal="center"/>
    </xf>
    <xf numFmtId="0" fontId="51" fillId="55" borderId="73" xfId="0" applyNumberFormat="1" applyFont="1" applyFill="1" applyBorder="1" applyAlignment="1">
      <alignment horizontal="center"/>
    </xf>
    <xf numFmtId="164" fontId="51" fillId="55" borderId="21" xfId="89" applyFont="1" applyFill="1" applyBorder="1" applyAlignment="1"/>
    <xf numFmtId="7" fontId="51" fillId="55" borderId="31" xfId="0" applyNumberFormat="1" applyFont="1" applyFill="1" applyBorder="1" applyAlignment="1"/>
    <xf numFmtId="164" fontId="51" fillId="55" borderId="73" xfId="89" applyFont="1" applyFill="1" applyBorder="1" applyAlignment="1"/>
    <xf numFmtId="0" fontId="51" fillId="55" borderId="0" xfId="163" applyFont="1" applyFill="1" applyAlignment="1">
      <alignment vertical="center"/>
    </xf>
    <xf numFmtId="0" fontId="51" fillId="55" borderId="0" xfId="0" applyFont="1" applyFill="1"/>
    <xf numFmtId="49" fontId="51" fillId="55" borderId="21" xfId="0" applyNumberFormat="1" applyFont="1" applyFill="1" applyBorder="1" applyAlignment="1">
      <alignment horizontal="center"/>
    </xf>
    <xf numFmtId="49" fontId="51" fillId="55" borderId="21" xfId="0" applyNumberFormat="1" applyFont="1" applyFill="1" applyBorder="1" applyAlignment="1"/>
    <xf numFmtId="184" fontId="51" fillId="55" borderId="21" xfId="352" applyNumberFormat="1" applyFont="1" applyFill="1" applyBorder="1" applyAlignment="1">
      <alignment horizontal="center"/>
    </xf>
    <xf numFmtId="0" fontId="51" fillId="53" borderId="22" xfId="0" applyNumberFormat="1" applyFont="1" applyFill="1" applyBorder="1" applyAlignment="1"/>
    <xf numFmtId="0" fontId="51" fillId="53" borderId="22" xfId="0" applyFont="1" applyFill="1" applyBorder="1"/>
    <xf numFmtId="0" fontId="51" fillId="53" borderId="22" xfId="0" applyFont="1" applyFill="1" applyBorder="1" applyAlignment="1">
      <alignment horizontal="center"/>
    </xf>
    <xf numFmtId="0" fontId="51" fillId="53" borderId="22" xfId="0" applyNumberFormat="1" applyFont="1" applyFill="1" applyBorder="1" applyAlignment="1">
      <alignment horizontal="left"/>
    </xf>
    <xf numFmtId="49" fontId="51" fillId="53" borderId="22" xfId="0" applyNumberFormat="1" applyFont="1" applyFill="1" applyBorder="1" applyAlignment="1"/>
    <xf numFmtId="49" fontId="51" fillId="53" borderId="22" xfId="0" applyNumberFormat="1" applyFont="1" applyFill="1" applyBorder="1" applyAlignment="1">
      <alignment horizontal="center"/>
    </xf>
    <xf numFmtId="49" fontId="51" fillId="53" borderId="21" xfId="0" applyNumberFormat="1" applyFont="1" applyFill="1" applyBorder="1" applyAlignment="1">
      <alignment horizontal="center"/>
    </xf>
    <xf numFmtId="49" fontId="51" fillId="53" borderId="21" xfId="0" applyNumberFormat="1" applyFont="1" applyFill="1" applyBorder="1" applyAlignment="1"/>
    <xf numFmtId="7" fontId="51" fillId="53" borderId="22" xfId="0" applyNumberFormat="1" applyFont="1" applyFill="1" applyBorder="1" applyAlignment="1"/>
    <xf numFmtId="7" fontId="51" fillId="53" borderId="21" xfId="0" applyNumberFormat="1" applyFont="1" applyFill="1" applyBorder="1" applyAlignment="1"/>
    <xf numFmtId="184" fontId="51" fillId="53" borderId="21" xfId="352" applyNumberFormat="1" applyFont="1" applyFill="1" applyBorder="1" applyAlignment="1">
      <alignment horizontal="center"/>
    </xf>
    <xf numFmtId="0" fontId="51" fillId="53" borderId="22" xfId="0" applyNumberFormat="1" applyFont="1" applyFill="1" applyBorder="1" applyAlignment="1">
      <alignment horizontal="center"/>
    </xf>
    <xf numFmtId="0" fontId="51" fillId="53" borderId="73" xfId="0" applyNumberFormat="1" applyFont="1" applyFill="1" applyBorder="1" applyAlignment="1">
      <alignment horizontal="center"/>
    </xf>
    <xf numFmtId="164" fontId="51" fillId="53" borderId="21" xfId="89" applyFont="1" applyFill="1" applyBorder="1" applyAlignment="1"/>
    <xf numFmtId="7" fontId="51" fillId="53" borderId="31" xfId="0" applyNumberFormat="1" applyFont="1" applyFill="1" applyBorder="1" applyAlignment="1"/>
    <xf numFmtId="164" fontId="51" fillId="53" borderId="73" xfId="89" applyFont="1" applyFill="1" applyBorder="1" applyAlignment="1"/>
    <xf numFmtId="0" fontId="51" fillId="53" borderId="0" xfId="163" applyFont="1" applyFill="1" applyAlignment="1">
      <alignment vertical="center"/>
    </xf>
    <xf numFmtId="0" fontId="51" fillId="53" borderId="0" xfId="0" applyFont="1" applyFill="1"/>
    <xf numFmtId="7" fontId="64" fillId="36" borderId="22" xfId="0" applyNumberFormat="1" applyFont="1" applyFill="1" applyBorder="1" applyAlignment="1"/>
    <xf numFmtId="7" fontId="64" fillId="36" borderId="21" xfId="0" applyNumberFormat="1" applyFont="1" applyFill="1" applyBorder="1" applyAlignment="1"/>
    <xf numFmtId="10" fontId="61" fillId="0" borderId="24" xfId="0" applyNumberFormat="1" applyFont="1" applyFill="1" applyBorder="1" applyAlignment="1">
      <alignment vertical="center" wrapText="1"/>
    </xf>
    <xf numFmtId="189" fontId="5" fillId="36" borderId="21" xfId="352" applyNumberFormat="1" applyFill="1" applyBorder="1" applyAlignment="1">
      <alignment horizontal="center"/>
    </xf>
    <xf numFmtId="0" fontId="51" fillId="40" borderId="39" xfId="0" applyFont="1" applyFill="1" applyBorder="1"/>
    <xf numFmtId="0" fontId="51" fillId="40" borderId="21" xfId="0" applyFont="1" applyFill="1" applyBorder="1" applyAlignment="1">
      <alignment horizontal="center"/>
    </xf>
    <xf numFmtId="0" fontId="51" fillId="40" borderId="21" xfId="0" applyNumberFormat="1" applyFont="1" applyFill="1" applyBorder="1" applyAlignment="1">
      <alignment horizontal="center"/>
    </xf>
    <xf numFmtId="49" fontId="51" fillId="40" borderId="21" xfId="0" applyNumberFormat="1" applyFont="1" applyFill="1" applyBorder="1" applyAlignment="1"/>
    <xf numFmtId="164" fontId="12" fillId="40" borderId="21" xfId="89" applyFont="1" applyFill="1" applyBorder="1" applyAlignment="1"/>
    <xf numFmtId="189" fontId="5" fillId="40" borderId="21" xfId="352" applyNumberFormat="1" applyFill="1" applyBorder="1" applyAlignment="1">
      <alignment horizontal="center"/>
    </xf>
    <xf numFmtId="0" fontId="51" fillId="40" borderId="73" xfId="0" applyFont="1" applyFill="1" applyBorder="1" applyAlignment="1">
      <alignment horizontal="center"/>
    </xf>
    <xf numFmtId="164" fontId="12" fillId="40" borderId="28" xfId="89" applyFont="1" applyFill="1" applyBorder="1" applyAlignment="1"/>
    <xf numFmtId="0" fontId="51" fillId="40" borderId="0" xfId="163" applyFont="1" applyFill="1" applyAlignment="1">
      <alignment vertical="center"/>
    </xf>
    <xf numFmtId="164" fontId="12" fillId="40" borderId="0" xfId="89" applyFont="1" applyFill="1" applyBorder="1" applyAlignment="1"/>
    <xf numFmtId="0" fontId="51" fillId="40" borderId="0" xfId="0" applyFont="1" applyFill="1" applyAlignment="1">
      <alignment horizontal="center"/>
    </xf>
    <xf numFmtId="164" fontId="5" fillId="40" borderId="0" xfId="89" applyFill="1"/>
    <xf numFmtId="164" fontId="51" fillId="40" borderId="0" xfId="0" applyNumberFormat="1" applyFont="1" applyFill="1"/>
    <xf numFmtId="179" fontId="51" fillId="40" borderId="0" xfId="0" applyNumberFormat="1" applyFont="1" applyFill="1"/>
    <xf numFmtId="0" fontId="51" fillId="40" borderId="0" xfId="0" applyFont="1" applyFill="1"/>
    <xf numFmtId="0" fontId="64" fillId="36" borderId="22" xfId="0" applyFont="1" applyFill="1" applyBorder="1"/>
    <xf numFmtId="0" fontId="64" fillId="36" borderId="22" xfId="0" applyFont="1" applyFill="1" applyBorder="1" applyAlignment="1">
      <alignment horizontal="center"/>
    </xf>
    <xf numFmtId="0" fontId="64" fillId="36" borderId="22" xfId="0" applyNumberFormat="1" applyFont="1" applyFill="1" applyBorder="1" applyAlignment="1">
      <alignment horizontal="left"/>
    </xf>
    <xf numFmtId="0" fontId="64" fillId="36" borderId="22" xfId="0" applyNumberFormat="1" applyFont="1" applyFill="1" applyBorder="1" applyAlignment="1"/>
    <xf numFmtId="49" fontId="64" fillId="36" borderId="22" xfId="0" applyNumberFormat="1" applyFont="1" applyFill="1" applyBorder="1" applyAlignment="1"/>
    <xf numFmtId="49" fontId="64" fillId="36" borderId="22" xfId="0" applyNumberFormat="1" applyFont="1" applyFill="1" applyBorder="1" applyAlignment="1">
      <alignment horizontal="center"/>
    </xf>
    <xf numFmtId="184" fontId="64" fillId="36" borderId="21" xfId="352" applyNumberFormat="1" applyFont="1" applyFill="1" applyBorder="1" applyAlignment="1"/>
    <xf numFmtId="0" fontId="64" fillId="36" borderId="22" xfId="0" applyNumberFormat="1" applyFont="1" applyFill="1" applyBorder="1" applyAlignment="1">
      <alignment horizontal="center"/>
    </xf>
    <xf numFmtId="0" fontId="64" fillId="36" borderId="73" xfId="0" applyNumberFormat="1" applyFont="1" applyFill="1" applyBorder="1" applyAlignment="1">
      <alignment horizontal="center"/>
    </xf>
    <xf numFmtId="164" fontId="64" fillId="36" borderId="21" xfId="89" applyFont="1" applyFill="1" applyBorder="1" applyAlignment="1"/>
    <xf numFmtId="7" fontId="64" fillId="36" borderId="31" xfId="0" applyNumberFormat="1" applyFont="1" applyFill="1" applyBorder="1" applyAlignment="1"/>
    <xf numFmtId="164" fontId="64" fillId="36" borderId="73" xfId="89" applyFont="1" applyFill="1" applyBorder="1" applyAlignment="1"/>
    <xf numFmtId="0" fontId="64" fillId="36" borderId="0" xfId="163" applyFont="1" applyFill="1" applyAlignment="1">
      <alignment vertical="center"/>
    </xf>
    <xf numFmtId="0" fontId="64" fillId="36" borderId="0" xfId="0" applyFont="1" applyFill="1"/>
    <xf numFmtId="0" fontId="58" fillId="43" borderId="12" xfId="0" applyFont="1" applyFill="1" applyBorder="1" applyAlignment="1">
      <alignment horizontal="center" vertical="center" wrapText="1"/>
    </xf>
    <xf numFmtId="10" fontId="58" fillId="43" borderId="52" xfId="0" applyNumberFormat="1" applyFont="1" applyFill="1" applyBorder="1" applyAlignment="1">
      <alignment horizontal="center" vertical="center" wrapText="1"/>
    </xf>
    <xf numFmtId="0" fontId="65" fillId="36" borderId="14" xfId="0" applyFont="1" applyFill="1" applyBorder="1" applyAlignment="1">
      <alignment vertical="center" wrapText="1"/>
    </xf>
    <xf numFmtId="10" fontId="65" fillId="27" borderId="45" xfId="0" applyNumberFormat="1" applyFont="1" applyFill="1" applyBorder="1" applyAlignment="1">
      <alignment horizontal="center" vertical="center" wrapText="1"/>
    </xf>
    <xf numFmtId="10" fontId="65" fillId="36" borderId="45" xfId="0" applyNumberFormat="1" applyFont="1" applyFill="1" applyBorder="1" applyAlignment="1">
      <alignment horizontal="center" vertical="center" wrapText="1"/>
    </xf>
    <xf numFmtId="0" fontId="65" fillId="36" borderId="14" xfId="129" applyFont="1" applyFill="1" applyBorder="1" applyAlignment="1">
      <alignment vertical="center"/>
    </xf>
    <xf numFmtId="0" fontId="65" fillId="0" borderId="44" xfId="0" applyFont="1" applyBorder="1"/>
    <xf numFmtId="0" fontId="65" fillId="0" borderId="59" xfId="0" applyFont="1" applyBorder="1"/>
    <xf numFmtId="10" fontId="12" fillId="55" borderId="74" xfId="254" applyNumberFormat="1" applyFont="1" applyFill="1" applyBorder="1" applyAlignment="1">
      <alignment horizontal="center"/>
    </xf>
    <xf numFmtId="10" fontId="66" fillId="36" borderId="74" xfId="254" applyNumberFormat="1" applyFont="1" applyFill="1" applyBorder="1" applyAlignment="1">
      <alignment horizontal="center"/>
    </xf>
    <xf numFmtId="10" fontId="12" fillId="53" borderId="74" xfId="254" applyNumberFormat="1" applyFont="1" applyFill="1" applyBorder="1" applyAlignment="1">
      <alignment horizontal="center"/>
    </xf>
    <xf numFmtId="10" fontId="12" fillId="45" borderId="74" xfId="254" applyNumberFormat="1" applyFont="1" applyFill="1" applyBorder="1" applyAlignment="1">
      <alignment horizontal="center"/>
    </xf>
    <xf numFmtId="10" fontId="64" fillId="36" borderId="21" xfId="0" applyNumberFormat="1" applyFont="1" applyFill="1" applyBorder="1" applyAlignment="1">
      <alignment horizontal="center"/>
    </xf>
    <xf numFmtId="10" fontId="51" fillId="55" borderId="21" xfId="0" applyNumberFormat="1" applyFont="1" applyFill="1" applyBorder="1" applyAlignment="1">
      <alignment horizontal="center"/>
    </xf>
    <xf numFmtId="10" fontId="51" fillId="45" borderId="21" xfId="0" applyNumberFormat="1" applyFont="1" applyFill="1" applyBorder="1" applyAlignment="1">
      <alignment horizontal="center"/>
    </xf>
    <xf numFmtId="10" fontId="51" fillId="53" borderId="21" xfId="0" applyNumberFormat="1" applyFont="1" applyFill="1" applyBorder="1" applyAlignment="1">
      <alignment horizontal="center"/>
    </xf>
    <xf numFmtId="43" fontId="54" fillId="36" borderId="0" xfId="163" applyNumberFormat="1" applyFont="1" applyFill="1" applyAlignment="1">
      <alignment vertical="center"/>
    </xf>
    <xf numFmtId="2" fontId="9" fillId="39" borderId="35" xfId="0" applyNumberFormat="1" applyFont="1" applyFill="1" applyBorder="1" applyAlignment="1">
      <alignment horizontal="center" vertical="center"/>
    </xf>
    <xf numFmtId="2" fontId="0" fillId="0" borderId="22" xfId="0" applyNumberFormat="1" applyBorder="1" applyAlignment="1">
      <alignment horizontal="center"/>
    </xf>
    <xf numFmtId="172" fontId="5" fillId="36" borderId="22" xfId="296" applyFont="1" applyFill="1" applyBorder="1" applyAlignment="1">
      <alignment horizontal="left"/>
    </xf>
    <xf numFmtId="172" fontId="0" fillId="0" borderId="22" xfId="296" applyFont="1" applyFill="1" applyBorder="1" applyAlignment="1">
      <alignment horizontal="left"/>
    </xf>
    <xf numFmtId="2" fontId="57" fillId="36" borderId="22" xfId="0" applyNumberFormat="1" applyFont="1" applyFill="1" applyBorder="1" applyAlignment="1">
      <alignment vertical="center"/>
    </xf>
    <xf numFmtId="2" fontId="14" fillId="56" borderId="22" xfId="0" applyNumberFormat="1" applyFont="1" applyFill="1" applyBorder="1" applyAlignment="1">
      <alignment vertical="center" wrapText="1"/>
    </xf>
    <xf numFmtId="14" fontId="14" fillId="56" borderId="22" xfId="0" applyNumberFormat="1" applyFont="1" applyFill="1" applyBorder="1" applyAlignment="1">
      <alignment vertical="center" wrapText="1"/>
    </xf>
    <xf numFmtId="2" fontId="14" fillId="56" borderId="22" xfId="0" applyNumberFormat="1" applyFont="1" applyFill="1" applyBorder="1" applyAlignment="1">
      <alignment horizontal="center" wrapText="1"/>
    </xf>
    <xf numFmtId="172" fontId="9" fillId="56" borderId="22" xfId="296" applyFont="1" applyFill="1" applyBorder="1" applyAlignment="1">
      <alignment horizontal="center"/>
    </xf>
    <xf numFmtId="180" fontId="9" fillId="56" borderId="22" xfId="296" applyNumberFormat="1" applyFont="1" applyFill="1" applyBorder="1" applyAlignment="1">
      <alignment horizontal="center"/>
    </xf>
    <xf numFmtId="2" fontId="11" fillId="0" borderId="22" xfId="0" applyNumberFormat="1" applyFont="1" applyFill="1" applyBorder="1" applyAlignment="1">
      <alignment horizontal="left"/>
    </xf>
    <xf numFmtId="171" fontId="11" fillId="38" borderId="22" xfId="101" applyFont="1" applyFill="1" applyBorder="1" applyAlignment="1">
      <alignment horizontal="left" vertical="center"/>
    </xf>
    <xf numFmtId="2" fontId="45" fillId="38" borderId="22" xfId="0" applyNumberFormat="1" applyFont="1" applyFill="1" applyBorder="1" applyAlignment="1">
      <alignment horizontal="left"/>
    </xf>
    <xf numFmtId="172" fontId="45" fillId="38" borderId="22" xfId="296" applyFont="1" applyFill="1" applyBorder="1" applyAlignment="1">
      <alignment horizontal="left"/>
    </xf>
    <xf numFmtId="49" fontId="11" fillId="38" borderId="22" xfId="0" applyNumberFormat="1" applyFont="1" applyFill="1" applyBorder="1" applyAlignment="1">
      <alignment horizontal="right"/>
    </xf>
    <xf numFmtId="172" fontId="11" fillId="0" borderId="22" xfId="296" applyFont="1" applyFill="1" applyBorder="1" applyAlignment="1"/>
    <xf numFmtId="171" fontId="11" fillId="0" borderId="22" xfId="101" applyFont="1" applyFill="1" applyBorder="1" applyAlignment="1">
      <alignment vertical="center"/>
    </xf>
    <xf numFmtId="172" fontId="54" fillId="38" borderId="25" xfId="296" applyFont="1" applyFill="1" applyBorder="1" applyAlignment="1">
      <alignment vertical="center"/>
    </xf>
    <xf numFmtId="0" fontId="51" fillId="0" borderId="20" xfId="0" applyFont="1" applyFill="1" applyBorder="1"/>
    <xf numFmtId="0" fontId="54" fillId="0" borderId="20" xfId="0" applyFont="1" applyFill="1" applyBorder="1" applyAlignment="1">
      <alignment horizontal="center" vertical="center"/>
    </xf>
    <xf numFmtId="2" fontId="54" fillId="0" borderId="12" xfId="0" applyNumberFormat="1" applyFont="1" applyBorder="1" applyAlignment="1">
      <alignment horizontal="right" wrapText="1"/>
    </xf>
    <xf numFmtId="171" fontId="54" fillId="0" borderId="51" xfId="101" applyFont="1" applyBorder="1" applyAlignment="1">
      <alignment horizontal="right" vertical="center"/>
    </xf>
    <xf numFmtId="2" fontId="54" fillId="0" borderId="12" xfId="0" applyNumberFormat="1" applyFont="1" applyBorder="1" applyAlignment="1">
      <alignment horizontal="right"/>
    </xf>
    <xf numFmtId="0" fontId="0" fillId="54" borderId="79" xfId="0" applyFill="1" applyBorder="1" applyAlignment="1">
      <alignment horizontal="left" vertical="center"/>
    </xf>
    <xf numFmtId="0" fontId="0" fillId="41" borderId="72" xfId="0" applyFill="1" applyBorder="1" applyAlignment="1">
      <alignment horizontal="left" vertical="center"/>
    </xf>
    <xf numFmtId="0" fontId="0" fillId="46" borderId="12" xfId="0" applyFill="1" applyBorder="1" applyAlignment="1">
      <alignment horizontal="center"/>
    </xf>
    <xf numFmtId="0" fontId="0" fillId="58" borderId="71" xfId="0" applyFill="1" applyBorder="1" applyAlignment="1">
      <alignment horizontal="left" vertical="center"/>
    </xf>
    <xf numFmtId="0" fontId="0" fillId="58" borderId="72" xfId="0" applyFill="1" applyBorder="1" applyAlignment="1">
      <alignment horizontal="left" vertical="center"/>
    </xf>
    <xf numFmtId="0" fontId="0" fillId="58" borderId="98" xfId="0" applyFill="1" applyBorder="1" applyAlignment="1">
      <alignment horizontal="left" vertical="center"/>
    </xf>
    <xf numFmtId="0" fontId="0" fillId="30" borderId="77" xfId="0" applyFill="1" applyBorder="1" applyAlignment="1">
      <alignment horizontal="left" vertical="center" wrapText="1"/>
    </xf>
    <xf numFmtId="0" fontId="0" fillId="45" borderId="79" xfId="0" applyFill="1" applyBorder="1" applyAlignment="1">
      <alignment horizontal="left" vertical="center" wrapText="1"/>
    </xf>
    <xf numFmtId="0" fontId="0" fillId="53" borderId="72" xfId="0" applyFill="1" applyBorder="1" applyAlignment="1">
      <alignment horizontal="left" vertical="center" wrapText="1"/>
    </xf>
    <xf numFmtId="0" fontId="0" fillId="61" borderId="72" xfId="0" applyFill="1" applyBorder="1" applyAlignment="1">
      <alignment horizontal="left" vertical="center" wrapText="1"/>
    </xf>
    <xf numFmtId="0" fontId="0" fillId="59" borderId="77" xfId="0" applyFill="1" applyBorder="1" applyAlignment="1">
      <alignment horizontal="left" vertical="center" wrapText="1"/>
    </xf>
    <xf numFmtId="0" fontId="0" fillId="32" borderId="51" xfId="0" applyFill="1" applyBorder="1" applyAlignment="1">
      <alignment horizontal="center" vertical="center"/>
    </xf>
    <xf numFmtId="0" fontId="0" fillId="32" borderId="44" xfId="0" applyFill="1" applyBorder="1" applyAlignment="1">
      <alignment horizontal="center" vertical="center"/>
    </xf>
    <xf numFmtId="0" fontId="0" fillId="0" borderId="51" xfId="0" applyBorder="1" applyAlignment="1">
      <alignment horizontal="center" vertical="center"/>
    </xf>
    <xf numFmtId="0" fontId="0" fillId="0" borderId="76" xfId="0" applyBorder="1" applyAlignment="1">
      <alignment horizontal="center" vertical="center"/>
    </xf>
    <xf numFmtId="0" fontId="0" fillId="0" borderId="44" xfId="0" applyBorder="1" applyAlignment="1">
      <alignment horizontal="center" vertical="center"/>
    </xf>
    <xf numFmtId="0" fontId="48" fillId="59" borderId="24" xfId="0" applyFont="1" applyFill="1" applyBorder="1" applyAlignment="1">
      <alignment horizontal="center" vertical="center" wrapText="1"/>
    </xf>
    <xf numFmtId="0" fontId="48" fillId="59" borderId="25" xfId="0" applyFont="1" applyFill="1" applyBorder="1" applyAlignment="1">
      <alignment horizontal="center" vertical="center" wrapText="1"/>
    </xf>
    <xf numFmtId="0" fontId="48" fillId="59" borderId="52" xfId="0" applyFont="1" applyFill="1" applyBorder="1" applyAlignment="1">
      <alignment horizontal="center" vertical="center" wrapText="1"/>
    </xf>
    <xf numFmtId="0" fontId="48" fillId="54" borderId="16" xfId="0" applyFont="1" applyFill="1" applyBorder="1" applyAlignment="1">
      <alignment horizontal="center" vertical="center" wrapText="1"/>
    </xf>
    <xf numFmtId="0" fontId="48" fillId="54" borderId="18" xfId="0" applyFont="1" applyFill="1" applyBorder="1" applyAlignment="1">
      <alignment horizontal="center" vertical="center" wrapText="1"/>
    </xf>
    <xf numFmtId="0" fontId="48" fillId="51" borderId="16" xfId="0" applyFont="1" applyFill="1" applyBorder="1" applyAlignment="1">
      <alignment horizontal="center" vertical="center" wrapText="1"/>
    </xf>
    <xf numFmtId="0" fontId="48" fillId="51" borderId="18" xfId="0" applyFont="1" applyFill="1" applyBorder="1" applyAlignment="1">
      <alignment horizontal="center" vertical="center" wrapText="1"/>
    </xf>
    <xf numFmtId="0" fontId="38" fillId="35" borderId="0" xfId="0" applyFont="1" applyFill="1" applyAlignment="1">
      <alignment horizontal="center"/>
    </xf>
    <xf numFmtId="0" fontId="0" fillId="37" borderId="12" xfId="0" applyFill="1" applyBorder="1" applyAlignment="1">
      <alignment horizontal="left" vertical="center" wrapText="1"/>
    </xf>
    <xf numFmtId="0" fontId="0" fillId="49" borderId="12" xfId="0" applyFill="1" applyBorder="1" applyAlignment="1">
      <alignment horizontal="left" vertical="center" wrapText="1"/>
    </xf>
    <xf numFmtId="0" fontId="0" fillId="31" borderId="12" xfId="0" applyFill="1" applyBorder="1" applyAlignment="1">
      <alignment horizontal="left" vertical="center" wrapText="1"/>
    </xf>
    <xf numFmtId="0" fontId="0" fillId="50" borderId="12" xfId="0" applyFill="1" applyBorder="1" applyAlignment="1">
      <alignment horizontal="left" vertical="center" wrapText="1"/>
    </xf>
    <xf numFmtId="0" fontId="0" fillId="38" borderId="12" xfId="0" applyFill="1" applyBorder="1" applyAlignment="1">
      <alignment horizontal="left" vertical="center" wrapText="1"/>
    </xf>
    <xf numFmtId="0" fontId="0" fillId="51" borderId="12" xfId="0" applyFill="1" applyBorder="1" applyAlignment="1">
      <alignment horizontal="left" vertical="center" wrapText="1"/>
    </xf>
    <xf numFmtId="0" fontId="0" fillId="48" borderId="12" xfId="0" applyFill="1" applyBorder="1" applyAlignment="1">
      <alignment horizontal="left" vertical="center" wrapText="1"/>
    </xf>
    <xf numFmtId="0" fontId="0" fillId="52" borderId="12" xfId="0" applyFill="1" applyBorder="1" applyAlignment="1">
      <alignment horizontal="left" vertical="center" wrapText="1"/>
    </xf>
    <xf numFmtId="0" fontId="48" fillId="0" borderId="33" xfId="0" applyFont="1" applyBorder="1" applyAlignment="1">
      <alignment horizontal="center"/>
    </xf>
    <xf numFmtId="0" fontId="48" fillId="0" borderId="35" xfId="0" applyFont="1" applyBorder="1" applyAlignment="1">
      <alignment horizontal="center"/>
    </xf>
    <xf numFmtId="0" fontId="48" fillId="0" borderId="38" xfId="0" applyFont="1" applyBorder="1" applyAlignment="1">
      <alignment horizontal="center"/>
    </xf>
    <xf numFmtId="0" fontId="0" fillId="60" borderId="12" xfId="0" applyFill="1" applyBorder="1" applyAlignment="1">
      <alignment horizontal="left" vertical="center" wrapText="1"/>
    </xf>
    <xf numFmtId="0" fontId="0" fillId="53" borderId="12" xfId="0" applyFill="1" applyBorder="1" applyAlignment="1">
      <alignment horizontal="left" vertical="center" wrapText="1"/>
    </xf>
    <xf numFmtId="0" fontId="48" fillId="0" borderId="34" xfId="0" applyFont="1" applyBorder="1" applyAlignment="1">
      <alignment horizontal="center" vertical="center" wrapText="1"/>
    </xf>
    <xf numFmtId="0" fontId="48" fillId="0" borderId="21" xfId="0" applyFont="1" applyBorder="1" applyAlignment="1">
      <alignment horizontal="center" vertical="center" wrapText="1"/>
    </xf>
    <xf numFmtId="0" fontId="48" fillId="0" borderId="22" xfId="0" applyFont="1" applyBorder="1" applyAlignment="1">
      <alignment horizontal="center"/>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18" xfId="0" applyBorder="1" applyAlignment="1">
      <alignment horizontal="left" vertical="center" wrapText="1"/>
    </xf>
    <xf numFmtId="0" fontId="0" fillId="0" borderId="19" xfId="0" applyBorder="1" applyAlignment="1">
      <alignment horizontal="left" vertical="center" wrapText="1"/>
    </xf>
    <xf numFmtId="0" fontId="0" fillId="0" borderId="0" xfId="0" applyBorder="1" applyAlignment="1">
      <alignment horizontal="left" vertical="center" wrapText="1"/>
    </xf>
    <xf numFmtId="0" fontId="0" fillId="0" borderId="20" xfId="0" applyBorder="1" applyAlignment="1">
      <alignment horizontal="left" vertical="center" wrapText="1"/>
    </xf>
    <xf numFmtId="0" fontId="0" fillId="0" borderId="78" xfId="0" applyBorder="1" applyAlignment="1">
      <alignment horizontal="left" vertical="center" wrapText="1"/>
    </xf>
    <xf numFmtId="0" fontId="0" fillId="0" borderId="23" xfId="0" applyBorder="1" applyAlignment="1">
      <alignment horizontal="left" vertical="center" wrapText="1"/>
    </xf>
    <xf numFmtId="0" fontId="0" fillId="0" borderId="59" xfId="0" applyBorder="1" applyAlignment="1">
      <alignment horizontal="left" vertical="center" wrapText="1"/>
    </xf>
    <xf numFmtId="0" fontId="0" fillId="54" borderId="51" xfId="0" applyFill="1" applyBorder="1" applyAlignment="1">
      <alignment horizontal="center" vertical="center"/>
    </xf>
    <xf numFmtId="0" fontId="0" fillId="54" borderId="44" xfId="0" applyFill="1" applyBorder="1" applyAlignment="1">
      <alignment horizontal="center" vertical="center"/>
    </xf>
    <xf numFmtId="0" fontId="48" fillId="32" borderId="16" xfId="0" applyFont="1" applyFill="1" applyBorder="1" applyAlignment="1">
      <alignment horizontal="center" vertical="center" wrapText="1"/>
    </xf>
    <xf numFmtId="0" fontId="48" fillId="32" borderId="18" xfId="0" applyFont="1" applyFill="1" applyBorder="1" applyAlignment="1">
      <alignment horizontal="center" vertical="center" wrapText="1"/>
    </xf>
    <xf numFmtId="0" fontId="0" fillId="51" borderId="51" xfId="0" applyFill="1" applyBorder="1" applyAlignment="1">
      <alignment horizontal="center" vertical="center"/>
    </xf>
    <xf numFmtId="0" fontId="0" fillId="51" borderId="44" xfId="0" applyFill="1" applyBorder="1" applyAlignment="1">
      <alignment horizontal="center" vertical="center"/>
    </xf>
    <xf numFmtId="0" fontId="0" fillId="51" borderId="18" xfId="0" applyFill="1" applyBorder="1" applyAlignment="1">
      <alignment horizontal="center" vertical="center"/>
    </xf>
    <xf numFmtId="0" fontId="0" fillId="51" borderId="59" xfId="0" applyFill="1" applyBorder="1" applyAlignment="1">
      <alignment horizontal="center" vertical="center"/>
    </xf>
    <xf numFmtId="0" fontId="0" fillId="51" borderId="76" xfId="0" applyFill="1" applyBorder="1" applyAlignment="1">
      <alignment horizontal="center" vertical="center"/>
    </xf>
    <xf numFmtId="0" fontId="54" fillId="31" borderId="12" xfId="0" applyFont="1" applyFill="1" applyBorder="1" applyAlignment="1">
      <alignment horizontal="center" vertical="center" wrapText="1"/>
    </xf>
    <xf numFmtId="0" fontId="54" fillId="49" borderId="12" xfId="0" applyFont="1" applyFill="1" applyBorder="1" applyAlignment="1">
      <alignment horizontal="center" vertical="center" wrapText="1"/>
    </xf>
    <xf numFmtId="0" fontId="54" fillId="49" borderId="51" xfId="0" applyFont="1" applyFill="1" applyBorder="1" applyAlignment="1">
      <alignment horizontal="center" vertical="center" wrapText="1"/>
    </xf>
    <xf numFmtId="0" fontId="54" fillId="49" borderId="51" xfId="0" applyFont="1" applyFill="1" applyBorder="1" applyAlignment="1">
      <alignment horizontal="center" vertical="center"/>
    </xf>
    <xf numFmtId="0" fontId="54" fillId="49" borderId="44" xfId="0" applyFont="1" applyFill="1" applyBorder="1" applyAlignment="1">
      <alignment horizontal="center" vertical="center"/>
    </xf>
    <xf numFmtId="0" fontId="54" fillId="52" borderId="12" xfId="0" applyFont="1" applyFill="1" applyBorder="1" applyAlignment="1">
      <alignment horizontal="center" vertical="center" wrapText="1"/>
    </xf>
    <xf numFmtId="0" fontId="54" fillId="52" borderId="51" xfId="0" applyFont="1" applyFill="1" applyBorder="1" applyAlignment="1">
      <alignment horizontal="center" vertical="center" wrapText="1"/>
    </xf>
    <xf numFmtId="0" fontId="54" fillId="58" borderId="12" xfId="0" applyFont="1" applyFill="1" applyBorder="1" applyAlignment="1">
      <alignment horizontal="center" vertical="center" wrapText="1"/>
    </xf>
    <xf numFmtId="0" fontId="54" fillId="58" borderId="51" xfId="0" applyFont="1" applyFill="1" applyBorder="1" applyAlignment="1">
      <alignment horizontal="center" vertical="center" wrapText="1"/>
    </xf>
    <xf numFmtId="0" fontId="54" fillId="37" borderId="12" xfId="0" applyFont="1" applyFill="1" applyBorder="1" applyAlignment="1">
      <alignment horizontal="center" vertical="center" wrapText="1"/>
    </xf>
    <xf numFmtId="0" fontId="59" fillId="57" borderId="12" xfId="248" applyFont="1" applyFill="1" applyBorder="1" applyAlignment="1">
      <alignment horizontal="center" vertical="center" wrapText="1" shrinkToFit="1"/>
    </xf>
    <xf numFmtId="0" fontId="59" fillId="57" borderId="51" xfId="248" applyFont="1" applyFill="1" applyBorder="1" applyAlignment="1">
      <alignment horizontal="center" vertical="center" wrapText="1" shrinkToFit="1"/>
    </xf>
    <xf numFmtId="172" fontId="54" fillId="0" borderId="24" xfId="296" applyFont="1" applyFill="1" applyBorder="1" applyAlignment="1">
      <alignment horizontal="center"/>
    </xf>
    <xf numFmtId="172" fontId="54" fillId="0" borderId="52" xfId="296" applyFont="1" applyFill="1" applyBorder="1" applyAlignment="1">
      <alignment horizontal="center"/>
    </xf>
    <xf numFmtId="0" fontId="54" fillId="37" borderId="51" xfId="0" applyFont="1" applyFill="1" applyBorder="1" applyAlignment="1">
      <alignment horizontal="center" vertical="center" wrapText="1"/>
    </xf>
    <xf numFmtId="10" fontId="54" fillId="50" borderId="34" xfId="0" applyNumberFormat="1" applyFont="1" applyFill="1" applyBorder="1" applyAlignment="1">
      <alignment horizontal="center" vertical="center" wrapText="1"/>
    </xf>
    <xf numFmtId="10" fontId="54" fillId="50" borderId="77" xfId="0" applyNumberFormat="1" applyFont="1" applyFill="1" applyBorder="1" applyAlignment="1">
      <alignment horizontal="center" vertical="center" wrapText="1"/>
    </xf>
    <xf numFmtId="2" fontId="54" fillId="0" borderId="0" xfId="0" applyNumberFormat="1" applyFont="1" applyFill="1" applyBorder="1" applyAlignment="1">
      <alignment horizontal="left" vertical="center" wrapText="1"/>
    </xf>
    <xf numFmtId="0" fontId="54" fillId="51" borderId="12" xfId="0" applyFont="1" applyFill="1" applyBorder="1" applyAlignment="1">
      <alignment horizontal="center" vertical="center" wrapText="1"/>
    </xf>
    <xf numFmtId="0" fontId="54" fillId="53" borderId="12" xfId="0" applyFont="1" applyFill="1" applyBorder="1" applyAlignment="1">
      <alignment horizontal="center" vertical="center" wrapText="1"/>
    </xf>
    <xf numFmtId="0" fontId="54" fillId="48" borderId="12" xfId="0" applyFont="1" applyFill="1" applyBorder="1" applyAlignment="1">
      <alignment horizontal="center" vertical="center" wrapText="1"/>
    </xf>
    <xf numFmtId="2" fontId="54" fillId="0" borderId="23" xfId="0" applyNumberFormat="1" applyFont="1" applyBorder="1" applyAlignment="1" applyProtection="1">
      <alignment horizontal="left" vertical="center" wrapText="1"/>
    </xf>
    <xf numFmtId="49" fontId="54" fillId="38" borderId="16" xfId="296" applyNumberFormat="1" applyFont="1" applyFill="1" applyBorder="1" applyAlignment="1">
      <alignment horizontal="center"/>
    </xf>
    <xf numFmtId="49" fontId="54" fillId="38" borderId="17" xfId="296" applyNumberFormat="1" applyFont="1" applyFill="1" applyBorder="1" applyAlignment="1">
      <alignment horizontal="center"/>
    </xf>
    <xf numFmtId="49" fontId="54" fillId="38" borderId="27" xfId="296" applyNumberFormat="1" applyFont="1" applyFill="1" applyBorder="1" applyAlignment="1">
      <alignment horizontal="center"/>
    </xf>
    <xf numFmtId="0" fontId="54" fillId="50" borderId="34" xfId="0" applyFont="1" applyFill="1" applyBorder="1" applyAlignment="1">
      <alignment horizontal="center" vertical="center" wrapText="1"/>
    </xf>
    <xf numFmtId="0" fontId="54" fillId="50" borderId="77" xfId="0" applyFont="1" applyFill="1" applyBorder="1" applyAlignment="1">
      <alignment horizontal="center" vertical="center" wrapText="1"/>
    </xf>
    <xf numFmtId="0" fontId="54" fillId="50" borderId="12" xfId="0" applyFont="1" applyFill="1" applyBorder="1" applyAlignment="1">
      <alignment horizontal="center" vertical="center" wrapText="1"/>
    </xf>
    <xf numFmtId="0" fontId="54" fillId="50" borderId="51" xfId="0" applyFont="1" applyFill="1" applyBorder="1" applyAlignment="1">
      <alignment horizontal="center" vertical="center" wrapText="1"/>
    </xf>
    <xf numFmtId="0" fontId="54" fillId="50" borderId="76" xfId="0" applyFont="1" applyFill="1" applyBorder="1" applyAlignment="1">
      <alignment horizontal="center" vertical="center" wrapText="1"/>
    </xf>
    <xf numFmtId="0" fontId="54" fillId="50" borderId="18" xfId="0" applyFont="1" applyFill="1" applyBorder="1" applyAlignment="1">
      <alignment horizontal="center" vertical="center" wrapText="1"/>
    </xf>
    <xf numFmtId="0" fontId="54" fillId="50" borderId="20" xfId="0" applyFont="1" applyFill="1" applyBorder="1" applyAlignment="1">
      <alignment horizontal="center" vertical="center" wrapText="1"/>
    </xf>
    <xf numFmtId="172" fontId="54" fillId="24" borderId="24" xfId="296" applyFont="1" applyFill="1" applyBorder="1" applyAlignment="1">
      <alignment horizontal="center"/>
    </xf>
    <xf numFmtId="172" fontId="54" fillId="24" borderId="25" xfId="296" applyFont="1" applyFill="1" applyBorder="1" applyAlignment="1">
      <alignment horizontal="center"/>
    </xf>
    <xf numFmtId="172" fontId="54" fillId="24" borderId="52" xfId="296" applyFont="1" applyFill="1" applyBorder="1" applyAlignment="1">
      <alignment horizontal="center"/>
    </xf>
    <xf numFmtId="0" fontId="42" fillId="37" borderId="0" xfId="0" applyFont="1" applyFill="1" applyAlignment="1">
      <alignment horizontal="center"/>
    </xf>
    <xf numFmtId="0" fontId="20" fillId="44" borderId="91" xfId="0" applyFont="1" applyFill="1" applyBorder="1" applyAlignment="1">
      <alignment horizontal="center" vertical="center" wrapText="1"/>
    </xf>
    <xf numFmtId="0" fontId="20" fillId="44" borderId="92" xfId="0" applyFont="1" applyFill="1" applyBorder="1" applyAlignment="1">
      <alignment horizontal="center" vertical="center" wrapText="1"/>
    </xf>
    <xf numFmtId="0" fontId="20" fillId="43" borderId="24" xfId="0" applyFont="1" applyFill="1" applyBorder="1" applyAlignment="1">
      <alignment horizontal="center" vertical="center" wrapText="1"/>
    </xf>
    <xf numFmtId="0" fontId="20" fillId="43" borderId="52" xfId="0" applyFont="1" applyFill="1" applyBorder="1" applyAlignment="1">
      <alignment horizontal="center" vertical="center" wrapText="1"/>
    </xf>
    <xf numFmtId="0" fontId="20" fillId="43" borderId="51" xfId="0" applyFont="1" applyFill="1" applyBorder="1" applyAlignment="1">
      <alignment horizontal="center" vertical="center" wrapText="1"/>
    </xf>
    <xf numFmtId="0" fontId="20" fillId="43" borderId="76" xfId="0" applyFont="1" applyFill="1" applyBorder="1" applyAlignment="1">
      <alignment horizontal="center" vertical="center" wrapText="1"/>
    </xf>
    <xf numFmtId="0" fontId="20" fillId="43" borderId="51" xfId="0" applyFont="1" applyFill="1" applyBorder="1" applyAlignment="1">
      <alignment horizontal="center" vertical="center"/>
    </xf>
    <xf numFmtId="0" fontId="20" fillId="43" borderId="76" xfId="0" applyFont="1" applyFill="1" applyBorder="1" applyAlignment="1">
      <alignment horizontal="center" vertical="center"/>
    </xf>
    <xf numFmtId="0" fontId="20" fillId="43" borderId="90" xfId="0" applyFont="1" applyFill="1" applyBorder="1" applyAlignment="1">
      <alignment horizontal="center" vertical="center" wrapText="1"/>
    </xf>
    <xf numFmtId="0" fontId="20" fillId="44" borderId="95" xfId="0" applyFont="1" applyFill="1" applyBorder="1" applyAlignment="1">
      <alignment horizontal="center" vertical="center" wrapText="1"/>
    </xf>
    <xf numFmtId="0" fontId="20" fillId="44" borderId="96" xfId="0" applyFont="1" applyFill="1" applyBorder="1" applyAlignment="1">
      <alignment horizontal="center" vertical="center" wrapText="1"/>
    </xf>
    <xf numFmtId="171" fontId="20" fillId="43" borderId="51" xfId="101" applyFont="1" applyFill="1" applyBorder="1" applyAlignment="1">
      <alignment horizontal="center" vertical="center"/>
    </xf>
    <xf numFmtId="171" fontId="20" fillId="43" borderId="90" xfId="101" applyFont="1" applyFill="1" applyBorder="1" applyAlignment="1">
      <alignment horizontal="center" vertical="center"/>
    </xf>
    <xf numFmtId="0" fontId="20" fillId="43" borderId="25" xfId="0" applyFont="1" applyFill="1" applyBorder="1" applyAlignment="1">
      <alignment horizontal="center" vertical="center" wrapText="1"/>
    </xf>
    <xf numFmtId="0" fontId="20" fillId="43" borderId="24" xfId="0" applyFont="1" applyFill="1" applyBorder="1" applyAlignment="1">
      <alignment horizontal="center" vertical="center"/>
    </xf>
    <xf numFmtId="0" fontId="20" fillId="43" borderId="25" xfId="0" applyFont="1" applyFill="1" applyBorder="1" applyAlignment="1">
      <alignment horizontal="center" vertical="center"/>
    </xf>
    <xf numFmtId="0" fontId="20" fillId="43" borderId="52" xfId="0" applyFont="1" applyFill="1" applyBorder="1" applyAlignment="1">
      <alignment horizontal="center" vertical="center"/>
    </xf>
    <xf numFmtId="0" fontId="20" fillId="43" borderId="51" xfId="0" applyFont="1" applyFill="1" applyBorder="1" applyAlignment="1">
      <alignment horizontal="center" vertical="center" textRotation="90"/>
    </xf>
    <xf numFmtId="0" fontId="20" fillId="43" borderId="76" xfId="0" applyFont="1" applyFill="1" applyBorder="1" applyAlignment="1">
      <alignment horizontal="center" vertical="center" textRotation="90"/>
    </xf>
    <xf numFmtId="0" fontId="20" fillId="43" borderId="90" xfId="0" applyFont="1" applyFill="1" applyBorder="1" applyAlignment="1">
      <alignment horizontal="center" vertical="center" textRotation="90"/>
    </xf>
    <xf numFmtId="0" fontId="20" fillId="44" borderId="93" xfId="0" applyFont="1" applyFill="1" applyBorder="1" applyAlignment="1">
      <alignment horizontal="center" vertical="center"/>
    </xf>
    <xf numFmtId="0" fontId="20" fillId="44" borderId="56" xfId="0" applyFont="1" applyFill="1" applyBorder="1" applyAlignment="1">
      <alignment horizontal="center" vertical="center" wrapText="1"/>
    </xf>
    <xf numFmtId="0" fontId="20" fillId="44" borderId="94" xfId="0" applyNumberFormat="1" applyFont="1" applyFill="1" applyBorder="1" applyAlignment="1">
      <alignment horizontal="center" vertical="center" wrapText="1"/>
    </xf>
    <xf numFmtId="0" fontId="20" fillId="44" borderId="52" xfId="0" applyNumberFormat="1" applyFont="1" applyFill="1" applyBorder="1" applyAlignment="1">
      <alignment horizontal="center" vertical="center" wrapText="1"/>
    </xf>
    <xf numFmtId="172" fontId="20" fillId="43" borderId="16" xfId="296" applyFont="1" applyFill="1" applyBorder="1" applyAlignment="1">
      <alignment horizontal="center" vertical="center"/>
    </xf>
    <xf numFmtId="172" fontId="20" fillId="43" borderId="17" xfId="296" applyFont="1" applyFill="1" applyBorder="1" applyAlignment="1">
      <alignment horizontal="center" vertical="center"/>
    </xf>
    <xf numFmtId="172" fontId="20" fillId="43" borderId="18" xfId="296" applyFont="1" applyFill="1" applyBorder="1" applyAlignment="1">
      <alignment horizontal="center" vertical="center"/>
    </xf>
    <xf numFmtId="172" fontId="20" fillId="43" borderId="19" xfId="296" applyFont="1" applyFill="1" applyBorder="1" applyAlignment="1">
      <alignment horizontal="center" vertical="center"/>
    </xf>
    <xf numFmtId="172" fontId="20" fillId="43" borderId="0" xfId="296" applyFont="1" applyFill="1" applyBorder="1" applyAlignment="1">
      <alignment horizontal="center" vertical="center"/>
    </xf>
    <xf numFmtId="172" fontId="20" fillId="43" borderId="20" xfId="296" applyFont="1" applyFill="1" applyBorder="1" applyAlignment="1">
      <alignment horizontal="center" vertical="center"/>
    </xf>
    <xf numFmtId="172" fontId="20" fillId="43" borderId="78" xfId="296" applyFont="1" applyFill="1" applyBorder="1" applyAlignment="1">
      <alignment horizontal="center" vertical="center"/>
    </xf>
    <xf numFmtId="172" fontId="20" fillId="43" borderId="23" xfId="296" applyFont="1" applyFill="1" applyBorder="1" applyAlignment="1">
      <alignment horizontal="center" vertical="center"/>
    </xf>
    <xf numFmtId="172" fontId="20" fillId="43" borderId="59" xfId="296" applyFont="1" applyFill="1" applyBorder="1" applyAlignment="1">
      <alignment horizontal="center" vertical="center"/>
    </xf>
    <xf numFmtId="0" fontId="20" fillId="43" borderId="90" xfId="0" applyFont="1" applyFill="1" applyBorder="1" applyAlignment="1">
      <alignment horizontal="center" vertical="center"/>
    </xf>
    <xf numFmtId="0" fontId="20" fillId="43" borderId="51" xfId="0" applyFont="1" applyFill="1" applyBorder="1" applyAlignment="1">
      <alignment horizontal="center" vertical="center" textRotation="90" wrapText="1"/>
    </xf>
    <xf numFmtId="0" fontId="20" fillId="43" borderId="76" xfId="0" applyFont="1" applyFill="1" applyBorder="1" applyAlignment="1">
      <alignment horizontal="center" vertical="center" textRotation="90" wrapText="1"/>
    </xf>
    <xf numFmtId="0" fontId="20" fillId="43" borderId="16" xfId="0" applyFont="1" applyFill="1" applyBorder="1" applyAlignment="1">
      <alignment horizontal="center" vertical="center"/>
    </xf>
    <xf numFmtId="0" fontId="20" fillId="43" borderId="19" xfId="0" applyFont="1" applyFill="1" applyBorder="1" applyAlignment="1">
      <alignment horizontal="center" vertical="center"/>
    </xf>
    <xf numFmtId="0" fontId="39" fillId="27" borderId="0" xfId="163" applyFont="1" applyFill="1" applyAlignment="1">
      <alignment horizontal="center" vertical="center" wrapText="1"/>
    </xf>
    <xf numFmtId="0" fontId="39" fillId="27" borderId="97" xfId="163" applyFont="1" applyFill="1" applyBorder="1" applyAlignment="1">
      <alignment horizontal="center" vertical="center" wrapText="1"/>
    </xf>
    <xf numFmtId="0" fontId="39" fillId="27" borderId="88" xfId="163" applyFont="1" applyFill="1" applyBorder="1" applyAlignment="1">
      <alignment horizontal="center" vertical="center" wrapText="1"/>
    </xf>
    <xf numFmtId="0" fontId="39" fillId="27" borderId="89" xfId="163" applyFont="1" applyFill="1" applyBorder="1" applyAlignment="1">
      <alignment horizontal="center" vertical="center" wrapText="1"/>
    </xf>
    <xf numFmtId="0" fontId="58" fillId="57" borderId="12" xfId="0" applyFont="1" applyFill="1" applyBorder="1" applyAlignment="1">
      <alignment horizontal="center" vertical="center" wrapText="1"/>
    </xf>
    <xf numFmtId="2" fontId="54" fillId="0" borderId="0" xfId="0" applyNumberFormat="1" applyFont="1" applyBorder="1" applyAlignment="1" applyProtection="1">
      <alignment horizontal="left" vertical="center" wrapText="1"/>
    </xf>
    <xf numFmtId="172" fontId="54" fillId="24" borderId="24" xfId="296" applyFont="1" applyFill="1" applyBorder="1" applyAlignment="1">
      <alignment horizontal="center" wrapText="1"/>
    </xf>
    <xf numFmtId="172" fontId="54" fillId="24" borderId="25" xfId="296" applyFont="1" applyFill="1" applyBorder="1" applyAlignment="1">
      <alignment horizontal="center" wrapText="1"/>
    </xf>
    <xf numFmtId="172" fontId="54" fillId="24" borderId="52" xfId="296" applyFont="1" applyFill="1" applyBorder="1" applyAlignment="1">
      <alignment horizontal="center" wrapText="1"/>
    </xf>
    <xf numFmtId="2" fontId="54" fillId="37" borderId="0" xfId="0" applyNumberFormat="1" applyFont="1" applyFill="1" applyBorder="1" applyAlignment="1">
      <alignment horizontal="center" vertical="center" wrapText="1"/>
    </xf>
    <xf numFmtId="0" fontId="58" fillId="57" borderId="51" xfId="0" applyFont="1" applyFill="1" applyBorder="1" applyAlignment="1">
      <alignment horizontal="center" vertical="center" wrapText="1"/>
    </xf>
    <xf numFmtId="0" fontId="58" fillId="57" borderId="44" xfId="0" applyFont="1" applyFill="1" applyBorder="1" applyAlignment="1">
      <alignment horizontal="center" vertical="center" wrapText="1"/>
    </xf>
    <xf numFmtId="44" fontId="67" fillId="29" borderId="0" xfId="0" applyNumberFormat="1" applyFont="1" applyFill="1" applyBorder="1" applyAlignment="1">
      <alignment horizontal="center" vertical="center" wrapText="1"/>
    </xf>
    <xf numFmtId="0" fontId="58" fillId="47" borderId="12" xfId="0" applyFont="1" applyFill="1" applyBorder="1" applyAlignment="1">
      <alignment horizontal="center" vertical="center" wrapText="1"/>
    </xf>
    <xf numFmtId="0" fontId="58" fillId="49" borderId="12" xfId="0" applyFont="1" applyFill="1" applyBorder="1" applyAlignment="1">
      <alignment horizontal="center" vertical="center" wrapText="1"/>
    </xf>
    <xf numFmtId="0" fontId="58" fillId="57" borderId="12" xfId="0" applyNumberFormat="1" applyFont="1" applyFill="1" applyBorder="1" applyAlignment="1">
      <alignment horizontal="center" vertical="center" wrapText="1"/>
    </xf>
    <xf numFmtId="2" fontId="9" fillId="0" borderId="51" xfId="0" applyNumberFormat="1" applyFont="1" applyBorder="1" applyAlignment="1">
      <alignment horizontal="center" vertical="center" wrapText="1"/>
    </xf>
    <xf numFmtId="2" fontId="9" fillId="0" borderId="76" xfId="0" applyNumberFormat="1" applyFont="1" applyBorder="1" applyAlignment="1">
      <alignment horizontal="center" vertical="center" wrapText="1"/>
    </xf>
    <xf numFmtId="2" fontId="9" fillId="0" borderId="20" xfId="0" applyNumberFormat="1" applyFont="1" applyBorder="1" applyAlignment="1">
      <alignment horizontal="center" vertical="center" wrapText="1"/>
    </xf>
    <xf numFmtId="180" fontId="5" fillId="0" borderId="31" xfId="296" applyNumberFormat="1" applyFont="1" applyFill="1" applyBorder="1" applyAlignment="1">
      <alignment horizontal="right"/>
    </xf>
    <xf numFmtId="180" fontId="5" fillId="0" borderId="75" xfId="296" applyNumberFormat="1" applyFont="1" applyFill="1" applyBorder="1" applyAlignment="1">
      <alignment horizontal="right"/>
    </xf>
    <xf numFmtId="180" fontId="5" fillId="0" borderId="73" xfId="296" applyNumberFormat="1" applyFont="1" applyFill="1" applyBorder="1" applyAlignment="1">
      <alignment horizontal="right"/>
    </xf>
    <xf numFmtId="172" fontId="5" fillId="0" borderId="83" xfId="296" applyFont="1" applyFill="1" applyBorder="1" applyAlignment="1">
      <alignment horizontal="right"/>
    </xf>
    <xf numFmtId="172" fontId="5" fillId="0" borderId="29" xfId="296" applyFont="1" applyFill="1" applyBorder="1" applyAlignment="1">
      <alignment horizontal="right"/>
    </xf>
    <xf numFmtId="180" fontId="5" fillId="0" borderId="87" xfId="296" applyNumberFormat="1" applyFont="1" applyFill="1" applyBorder="1" applyAlignment="1">
      <alignment horizontal="right"/>
    </xf>
    <xf numFmtId="180" fontId="5" fillId="0" borderId="88" xfId="296" applyNumberFormat="1" applyFont="1" applyFill="1" applyBorder="1" applyAlignment="1">
      <alignment horizontal="right"/>
    </xf>
    <xf numFmtId="180" fontId="5" fillId="0" borderId="89" xfId="296" applyNumberFormat="1" applyFont="1" applyFill="1" applyBorder="1" applyAlignment="1">
      <alignment horizontal="right"/>
    </xf>
    <xf numFmtId="172" fontId="5" fillId="0" borderId="73" xfId="296" applyFont="1" applyFill="1" applyBorder="1" applyAlignment="1">
      <alignment horizontal="right"/>
    </xf>
    <xf numFmtId="172" fontId="5" fillId="0" borderId="21" xfId="296" applyFont="1" applyFill="1" applyBorder="1" applyAlignment="1">
      <alignment horizontal="right"/>
    </xf>
    <xf numFmtId="2" fontId="13" fillId="0" borderId="16" xfId="0" applyNumberFormat="1" applyFont="1" applyFill="1" applyBorder="1" applyAlignment="1">
      <alignment horizontal="center" vertical="center"/>
    </xf>
    <xf numFmtId="2" fontId="13" fillId="0" borderId="17" xfId="0" applyNumberFormat="1" applyFont="1" applyFill="1" applyBorder="1" applyAlignment="1">
      <alignment horizontal="center" vertical="center"/>
    </xf>
    <xf numFmtId="2" fontId="13" fillId="0" borderId="78" xfId="0" applyNumberFormat="1" applyFont="1" applyFill="1" applyBorder="1" applyAlignment="1">
      <alignment horizontal="center" vertical="center"/>
    </xf>
    <xf numFmtId="2" fontId="13" fillId="0" borderId="23" xfId="0" applyNumberFormat="1" applyFont="1" applyFill="1" applyBorder="1" applyAlignment="1">
      <alignment horizontal="center" vertical="center"/>
    </xf>
    <xf numFmtId="172" fontId="11" fillId="0" borderId="33" xfId="296" applyFont="1" applyFill="1" applyBorder="1" applyAlignment="1">
      <alignment horizontal="center"/>
    </xf>
    <xf numFmtId="172" fontId="11" fillId="0" borderId="35" xfId="296" applyFont="1" applyFill="1" applyBorder="1" applyAlignment="1">
      <alignment horizontal="center"/>
    </xf>
    <xf numFmtId="172" fontId="11" fillId="0" borderId="38" xfId="296" applyFont="1" applyFill="1" applyBorder="1" applyAlignment="1">
      <alignment horizontal="center"/>
    </xf>
    <xf numFmtId="172" fontId="5" fillId="0" borderId="40" xfId="296" applyFont="1" applyBorder="1" applyAlignment="1">
      <alignment horizontal="right"/>
    </xf>
    <xf numFmtId="172" fontId="5" fillId="0" borderId="22" xfId="296" applyFont="1" applyBorder="1" applyAlignment="1">
      <alignment horizontal="right"/>
    </xf>
    <xf numFmtId="172" fontId="5" fillId="0" borderId="84" xfId="296" applyFont="1" applyBorder="1" applyAlignment="1">
      <alignment horizontal="right"/>
    </xf>
    <xf numFmtId="172" fontId="5" fillId="0" borderId="34" xfId="296" applyFont="1" applyBorder="1" applyAlignment="1">
      <alignment horizontal="right"/>
    </xf>
    <xf numFmtId="172" fontId="11" fillId="0" borderId="85" xfId="296" applyFont="1" applyFill="1" applyBorder="1" applyAlignment="1">
      <alignment horizontal="center"/>
    </xf>
    <xf numFmtId="172" fontId="11" fillId="0" borderId="86" xfId="296" applyFont="1" applyFill="1" applyBorder="1" applyAlignment="1">
      <alignment horizontal="center"/>
    </xf>
    <xf numFmtId="172" fontId="11" fillId="0" borderId="84" xfId="296" applyFont="1" applyFill="1" applyBorder="1" applyAlignment="1">
      <alignment horizontal="center"/>
    </xf>
    <xf numFmtId="180" fontId="0" fillId="0" borderId="34" xfId="296" applyNumberFormat="1" applyFont="1" applyFill="1" applyBorder="1" applyAlignment="1">
      <alignment horizontal="center" vertical="center" wrapText="1"/>
    </xf>
    <xf numFmtId="180" fontId="0" fillId="0" borderId="77" xfId="296" applyNumberFormat="1" applyFont="1" applyFill="1" applyBorder="1" applyAlignment="1">
      <alignment horizontal="center" vertical="center" wrapText="1"/>
    </xf>
    <xf numFmtId="14" fontId="5" fillId="0" borderId="40" xfId="0" applyNumberFormat="1" applyFont="1" applyFill="1" applyBorder="1" applyAlignment="1">
      <alignment horizontal="center" wrapText="1"/>
    </xf>
    <xf numFmtId="14" fontId="0" fillId="0" borderId="40" xfId="0" applyNumberFormat="1" applyFill="1" applyBorder="1" applyAlignment="1">
      <alignment horizontal="center" wrapText="1"/>
    </xf>
    <xf numFmtId="14" fontId="0" fillId="0" borderId="58" xfId="0" applyNumberFormat="1" applyFill="1" applyBorder="1" applyAlignment="1">
      <alignment horizontal="center" wrapText="1"/>
    </xf>
    <xf numFmtId="172" fontId="0" fillId="0" borderId="82" xfId="296" applyFont="1" applyFill="1" applyBorder="1" applyAlignment="1">
      <alignment horizontal="center" vertical="center" wrapText="1"/>
    </xf>
    <xf numFmtId="172" fontId="0" fillId="0" borderId="81" xfId="296" applyFont="1" applyFill="1" applyBorder="1" applyAlignment="1">
      <alignment horizontal="center" vertical="center" wrapText="1"/>
    </xf>
    <xf numFmtId="172" fontId="0" fillId="0" borderId="34" xfId="296" applyFont="1" applyFill="1" applyBorder="1" applyAlignment="1">
      <alignment horizontal="center" vertical="center" wrapText="1"/>
    </xf>
    <xf numFmtId="172" fontId="0" fillId="0" borderId="77" xfId="296" applyFont="1" applyFill="1" applyBorder="1" applyAlignment="1">
      <alignment horizontal="center" vertical="center" wrapText="1"/>
    </xf>
    <xf numFmtId="2" fontId="5" fillId="0" borderId="33" xfId="0" applyNumberFormat="1" applyFont="1" applyBorder="1" applyAlignment="1">
      <alignment horizontal="right" vertical="center"/>
    </xf>
    <xf numFmtId="2" fontId="5" fillId="0" borderId="35" xfId="0" applyNumberFormat="1" applyFont="1" applyBorder="1" applyAlignment="1">
      <alignment horizontal="right" vertical="center"/>
    </xf>
    <xf numFmtId="2" fontId="5" fillId="0" borderId="38" xfId="0" applyNumberFormat="1" applyFont="1" applyBorder="1" applyAlignment="1">
      <alignment horizontal="right" vertical="center"/>
    </xf>
    <xf numFmtId="172" fontId="5" fillId="0" borderId="40" xfId="296" applyFont="1" applyBorder="1" applyAlignment="1">
      <alignment horizontal="right" vertical="top"/>
    </xf>
    <xf numFmtId="172" fontId="5" fillId="0" borderId="22" xfId="296" applyFont="1" applyBorder="1" applyAlignment="1">
      <alignment horizontal="right" vertical="top"/>
    </xf>
    <xf numFmtId="172" fontId="5" fillId="0" borderId="38" xfId="296" applyFont="1" applyBorder="1" applyAlignment="1">
      <alignment horizontal="right" vertical="top"/>
    </xf>
    <xf numFmtId="2" fontId="0" fillId="0" borderId="34" xfId="0" applyNumberFormat="1" applyFont="1" applyFill="1" applyBorder="1" applyAlignment="1">
      <alignment horizontal="center" vertical="center"/>
    </xf>
    <xf numFmtId="2" fontId="0" fillId="0" borderId="77" xfId="0" applyNumberFormat="1" applyFill="1" applyBorder="1" applyAlignment="1">
      <alignment horizontal="center" vertical="center"/>
    </xf>
    <xf numFmtId="2" fontId="0" fillId="0" borderId="34" xfId="0" applyNumberFormat="1" applyFill="1" applyBorder="1" applyAlignment="1">
      <alignment horizontal="center" vertical="center"/>
    </xf>
    <xf numFmtId="2" fontId="0" fillId="0" borderId="21" xfId="0" applyNumberFormat="1" applyFill="1" applyBorder="1" applyAlignment="1">
      <alignment horizontal="center" vertical="center"/>
    </xf>
    <xf numFmtId="14" fontId="5" fillId="0" borderId="22" xfId="0" applyNumberFormat="1" applyFont="1" applyFill="1" applyBorder="1" applyAlignment="1">
      <alignment horizontal="center" wrapText="1"/>
    </xf>
    <xf numFmtId="14" fontId="0" fillId="0" borderId="22" xfId="0" applyNumberFormat="1" applyFill="1" applyBorder="1" applyAlignment="1">
      <alignment horizontal="center" wrapText="1"/>
    </xf>
    <xf numFmtId="14" fontId="0" fillId="0" borderId="34" xfId="0" applyNumberFormat="1" applyFill="1" applyBorder="1" applyAlignment="1">
      <alignment horizontal="center" wrapText="1"/>
    </xf>
    <xf numFmtId="14" fontId="5" fillId="0" borderId="34" xfId="0" applyNumberFormat="1" applyFont="1" applyBorder="1" applyAlignment="1">
      <alignment horizontal="center" vertical="center" wrapText="1"/>
    </xf>
    <xf numFmtId="14" fontId="5" fillId="0" borderId="77" xfId="0" applyNumberFormat="1" applyFont="1" applyBorder="1" applyAlignment="1">
      <alignment horizontal="center" vertical="center" wrapText="1"/>
    </xf>
    <xf numFmtId="172" fontId="5" fillId="0" borderId="34" xfId="296" applyFont="1" applyFill="1" applyBorder="1" applyAlignment="1">
      <alignment horizontal="center" vertical="center" wrapText="1"/>
    </xf>
    <xf numFmtId="172" fontId="5" fillId="0" borderId="77" xfId="296" applyFont="1" applyFill="1" applyBorder="1" applyAlignment="1">
      <alignment horizontal="center" vertical="center" wrapText="1"/>
    </xf>
    <xf numFmtId="2" fontId="5" fillId="0" borderId="34" xfId="0" applyNumberFormat="1" applyFont="1" applyFill="1" applyBorder="1" applyAlignment="1">
      <alignment horizontal="center" vertical="center"/>
    </xf>
    <xf numFmtId="2" fontId="0" fillId="0" borderId="38" xfId="0" applyNumberFormat="1" applyFill="1" applyBorder="1" applyAlignment="1">
      <alignment horizontal="center" vertical="center" wrapText="1"/>
    </xf>
    <xf numFmtId="2" fontId="0" fillId="0" borderId="84" xfId="0" applyNumberFormat="1" applyFill="1" applyBorder="1" applyAlignment="1">
      <alignment horizontal="center" vertical="center" wrapText="1"/>
    </xf>
    <xf numFmtId="2" fontId="0" fillId="0" borderId="33" xfId="0" applyNumberFormat="1" applyFill="1" applyBorder="1" applyAlignment="1">
      <alignment horizontal="center" vertical="center" wrapText="1"/>
    </xf>
    <xf numFmtId="2" fontId="0" fillId="0" borderId="85" xfId="0" applyNumberFormat="1" applyFill="1" applyBorder="1" applyAlignment="1">
      <alignment horizontal="center" vertical="center" wrapText="1"/>
    </xf>
    <xf numFmtId="2" fontId="13" fillId="0" borderId="18" xfId="0" applyNumberFormat="1" applyFont="1" applyFill="1" applyBorder="1" applyAlignment="1">
      <alignment horizontal="center" vertical="center"/>
    </xf>
    <xf numFmtId="2" fontId="13" fillId="0" borderId="59" xfId="0" applyNumberFormat="1" applyFont="1" applyFill="1" applyBorder="1" applyAlignment="1">
      <alignment horizontal="center" vertical="center"/>
    </xf>
    <xf numFmtId="172" fontId="5" fillId="0" borderId="39" xfId="296" applyFont="1" applyFill="1" applyBorder="1" applyAlignment="1">
      <alignment horizontal="right"/>
    </xf>
    <xf numFmtId="2" fontId="12" fillId="0" borderId="0" xfId="0" applyNumberFormat="1" applyFont="1" applyAlignment="1">
      <alignment horizontal="left"/>
    </xf>
    <xf numFmtId="172" fontId="0" fillId="0" borderId="79" xfId="296" applyFont="1" applyFill="1" applyBorder="1" applyAlignment="1">
      <alignment horizontal="center" vertical="center" wrapText="1"/>
    </xf>
    <xf numFmtId="172" fontId="0" fillId="0" borderId="80" xfId="296" applyFont="1" applyFill="1" applyBorder="1" applyAlignment="1">
      <alignment horizontal="center" vertical="center" wrapText="1"/>
    </xf>
    <xf numFmtId="2" fontId="9" fillId="50" borderId="0" xfId="0" applyNumberFormat="1" applyFont="1" applyFill="1" applyAlignment="1">
      <alignment horizontal="center" wrapText="1"/>
    </xf>
    <xf numFmtId="14" fontId="5" fillId="0" borderId="79" xfId="0" applyNumberFormat="1" applyFont="1" applyBorder="1" applyAlignment="1">
      <alignment horizontal="center" vertical="center" wrapText="1"/>
    </xf>
    <xf numFmtId="172" fontId="5" fillId="0" borderId="79" xfId="296" applyFont="1" applyFill="1" applyBorder="1" applyAlignment="1">
      <alignment horizontal="center" vertical="center" wrapText="1"/>
    </xf>
    <xf numFmtId="180" fontId="0" fillId="0" borderId="79" xfId="296" applyNumberFormat="1" applyFont="1" applyFill="1" applyBorder="1" applyAlignment="1">
      <alignment horizontal="center" vertical="center" wrapText="1"/>
    </xf>
    <xf numFmtId="14" fontId="5" fillId="0" borderId="83" xfId="0" applyNumberFormat="1" applyFont="1" applyFill="1" applyBorder="1" applyAlignment="1">
      <alignment horizontal="center" wrapText="1"/>
    </xf>
    <xf numFmtId="14" fontId="5" fillId="0" borderId="29" xfId="0" applyNumberFormat="1" applyFont="1" applyFill="1" applyBorder="1" applyAlignment="1">
      <alignment horizontal="center" wrapText="1"/>
    </xf>
  </cellXfs>
  <cellStyles count="360">
    <cellStyle name="20% - Ênfase1 2" xfId="1"/>
    <cellStyle name="20% - Ênfase1 2 2" xfId="2"/>
    <cellStyle name="20% - Ênfase1 3" xfId="3"/>
    <cellStyle name="20% - Ênfase1 3 2" xfId="4"/>
    <cellStyle name="20% - Ênfase2 2" xfId="5"/>
    <cellStyle name="20% - Ênfase2 2 2" xfId="6"/>
    <cellStyle name="20% - Ênfase2 3" xfId="7"/>
    <cellStyle name="20% - Ênfase2 3 2" xfId="8"/>
    <cellStyle name="20% - Ênfase3 2" xfId="9"/>
    <cellStyle name="20% - Ênfase3 2 2" xfId="10"/>
    <cellStyle name="20% - Ênfase3 3" xfId="11"/>
    <cellStyle name="20% - Ênfase3 3 2" xfId="12"/>
    <cellStyle name="20% - Ênfase4 2" xfId="13"/>
    <cellStyle name="20% - Ênfase4 2 2" xfId="14"/>
    <cellStyle name="20% - Ênfase4 3" xfId="15"/>
    <cellStyle name="20% - Ênfase4 3 2" xfId="16"/>
    <cellStyle name="20% - Ênfase5 2" xfId="17"/>
    <cellStyle name="20% - Ênfase5 2 2" xfId="18"/>
    <cellStyle name="20% - Ênfase5 3" xfId="19"/>
    <cellStyle name="20% - Ênfase5 3 2" xfId="20"/>
    <cellStyle name="20% - Ênfase6 2" xfId="21"/>
    <cellStyle name="20% - Ênfase6 2 2" xfId="22"/>
    <cellStyle name="20% - Ênfase6 3" xfId="23"/>
    <cellStyle name="20% - Ênfase6 3 2" xfId="24"/>
    <cellStyle name="40% - Ênfase1 2" xfId="25"/>
    <cellStyle name="40% - Ênfase1 2 2" xfId="26"/>
    <cellStyle name="40% - Ênfase1 3" xfId="27"/>
    <cellStyle name="40% - Ênfase1 3 2" xfId="28"/>
    <cellStyle name="40% - Ênfase2 2" xfId="29"/>
    <cellStyle name="40% - Ênfase2 2 2" xfId="30"/>
    <cellStyle name="40% - Ênfase2 3" xfId="31"/>
    <cellStyle name="40% - Ênfase2 3 2" xfId="32"/>
    <cellStyle name="40% - Ênfase3 2" xfId="33"/>
    <cellStyle name="40% - Ênfase3 2 2" xfId="34"/>
    <cellStyle name="40% - Ênfase3 3" xfId="35"/>
    <cellStyle name="40% - Ênfase3 3 2" xfId="36"/>
    <cellStyle name="40% - Ênfase4 2" xfId="37"/>
    <cellStyle name="40% - Ênfase4 2 2" xfId="38"/>
    <cellStyle name="40% - Ênfase4 3" xfId="39"/>
    <cellStyle name="40% - Ênfase4 3 2" xfId="40"/>
    <cellStyle name="40% - Ênfase5 2" xfId="41"/>
    <cellStyle name="40% - Ênfase5 2 2" xfId="42"/>
    <cellStyle name="40% - Ênfase5 3" xfId="43"/>
    <cellStyle name="40% - Ênfase5 3 2" xfId="44"/>
    <cellStyle name="40% - Ênfase6 2" xfId="45"/>
    <cellStyle name="40% - Ênfase6 2 2" xfId="46"/>
    <cellStyle name="40% - Ênfase6 3" xfId="47"/>
    <cellStyle name="40% - Ênfase6 3 2" xfId="48"/>
    <cellStyle name="60% - Ênfase1 2" xfId="49"/>
    <cellStyle name="60% - Ênfase1 3" xfId="50"/>
    <cellStyle name="60% - Ênfase2 2" xfId="51"/>
    <cellStyle name="60% - Ênfase2 3" xfId="52"/>
    <cellStyle name="60% - Ênfase3 2" xfId="53"/>
    <cellStyle name="60% - Ênfase3 3" xfId="54"/>
    <cellStyle name="60% - Ênfase4 2" xfId="55"/>
    <cellStyle name="60% - Ênfase4 3" xfId="56"/>
    <cellStyle name="60% - Ênfase5 2" xfId="57"/>
    <cellStyle name="60% - Ênfase5 3" xfId="58"/>
    <cellStyle name="60% - Ênfase6 2" xfId="59"/>
    <cellStyle name="60% - Ênfase6 3" xfId="60"/>
    <cellStyle name="Bom 2" xfId="61"/>
    <cellStyle name="Bom 3" xfId="62"/>
    <cellStyle name="Cálculo 2" xfId="63"/>
    <cellStyle name="Cálculo 3" xfId="64"/>
    <cellStyle name="Cancel" xfId="65"/>
    <cellStyle name="Célula de Verificação 2" xfId="66"/>
    <cellStyle name="Célula de Verificação 3" xfId="67"/>
    <cellStyle name="Célula Vinculada 2" xfId="68"/>
    <cellStyle name="Célula Vinculada 3" xfId="69"/>
    <cellStyle name="Ênfase1 2" xfId="70"/>
    <cellStyle name="Ênfase1 3" xfId="71"/>
    <cellStyle name="Ênfase2 2" xfId="72"/>
    <cellStyle name="Ênfase2 3" xfId="73"/>
    <cellStyle name="Ênfase3 2" xfId="74"/>
    <cellStyle name="Ênfase3 3" xfId="75"/>
    <cellStyle name="Ênfase4 2" xfId="76"/>
    <cellStyle name="Ênfase4 3" xfId="77"/>
    <cellStyle name="Ênfase5 2" xfId="78"/>
    <cellStyle name="Ênfase5 3" xfId="79"/>
    <cellStyle name="Ênfase6 2" xfId="80"/>
    <cellStyle name="Ênfase6 3" xfId="81"/>
    <cellStyle name="Entrada 2" xfId="82"/>
    <cellStyle name="Entrada 3" xfId="83"/>
    <cellStyle name="Hiperlink" xfId="84" builtinId="8"/>
    <cellStyle name="Hyperlink 2" xfId="85"/>
    <cellStyle name="Hyperlink 3" xfId="86"/>
    <cellStyle name="Incorreto 2" xfId="87"/>
    <cellStyle name="Incorreto 3" xfId="88"/>
    <cellStyle name="Moeda" xfId="89" builtinId="4"/>
    <cellStyle name="Moeda 10" xfId="90"/>
    <cellStyle name="Moeda 10 2" xfId="91"/>
    <cellStyle name="Moeda 10 3" xfId="92"/>
    <cellStyle name="Moeda 11" xfId="93"/>
    <cellStyle name="Moeda 11 2" xfId="94"/>
    <cellStyle name="Moeda 12" xfId="95"/>
    <cellStyle name="Moeda 13" xfId="96"/>
    <cellStyle name="Moeda 14" xfId="97"/>
    <cellStyle name="Moeda 2" xfId="98"/>
    <cellStyle name="Moeda 2 2" xfId="99"/>
    <cellStyle name="Moeda 2 2 2" xfId="100"/>
    <cellStyle name="Moeda 2 2 2 2" xfId="101"/>
    <cellStyle name="Moeda 2 2 3" xfId="102"/>
    <cellStyle name="Moeda 2 3" xfId="103"/>
    <cellStyle name="Moeda 2 3 2" xfId="104"/>
    <cellStyle name="Moeda 2 3 3" xfId="105"/>
    <cellStyle name="Moeda 2 4" xfId="106"/>
    <cellStyle name="Moeda 2 7 2" xfId="107"/>
    <cellStyle name="Moeda 2_0094.010100422-CSG.M-PGJ.22.12.2010-FATURAMENTO VT 12.2010" xfId="108"/>
    <cellStyle name="Moeda 3" xfId="109"/>
    <cellStyle name="Moeda 3 2" xfId="110"/>
    <cellStyle name="Moeda 3 3" xfId="111"/>
    <cellStyle name="Moeda 3_Cópia de CMLCSG041-2010 A" xfId="112"/>
    <cellStyle name="Moeda 4" xfId="113"/>
    <cellStyle name="Moeda 4 2" xfId="114"/>
    <cellStyle name="Moeda 4 3" xfId="115"/>
    <cellStyle name="Moeda 5" xfId="116"/>
    <cellStyle name="Moeda 5 2" xfId="117"/>
    <cellStyle name="Moeda 5 4 2" xfId="118"/>
    <cellStyle name="Moeda 6" xfId="119"/>
    <cellStyle name="Moeda 6 2" xfId="120"/>
    <cellStyle name="Moeda 6 2 2" xfId="121"/>
    <cellStyle name="Moeda 7" xfId="122"/>
    <cellStyle name="Moeda 7 2" xfId="123"/>
    <cellStyle name="Moeda 8" xfId="124"/>
    <cellStyle name="Moeda 8 2" xfId="125"/>
    <cellStyle name="Moeda 9" xfId="126"/>
    <cellStyle name="Neutra 2" xfId="127"/>
    <cellStyle name="Neutra 3" xfId="128"/>
    <cellStyle name="Normal" xfId="0" builtinId="0"/>
    <cellStyle name="Normal 10" xfId="129"/>
    <cellStyle name="Normal 10 2" xfId="130"/>
    <cellStyle name="Normal 10 2 2" xfId="131"/>
    <cellStyle name="Normal 100" xfId="132"/>
    <cellStyle name="Normal 11" xfId="133"/>
    <cellStyle name="Normal 11 2" xfId="134"/>
    <cellStyle name="Normal 12" xfId="135"/>
    <cellStyle name="Normal 12 2" xfId="136"/>
    <cellStyle name="Normal 12 2 2" xfId="137"/>
    <cellStyle name="Normal 120" xfId="138"/>
    <cellStyle name="Normal 121" xfId="139"/>
    <cellStyle name="Normal 13" xfId="140"/>
    <cellStyle name="Normal 14" xfId="141"/>
    <cellStyle name="Normal 15" xfId="142"/>
    <cellStyle name="Normal 16" xfId="143"/>
    <cellStyle name="Normal 17" xfId="144"/>
    <cellStyle name="Normal 18" xfId="145"/>
    <cellStyle name="Normal 19" xfId="146"/>
    <cellStyle name="Normal 2" xfId="147"/>
    <cellStyle name="Normal 2 2" xfId="148"/>
    <cellStyle name="Normal 2 4" xfId="149"/>
    <cellStyle name="Normal 2_0094.010100422-CSG.M-PGJ.22.12.2010-FATURAMENTO VT 12.2010" xfId="150"/>
    <cellStyle name="Normal 20" xfId="151"/>
    <cellStyle name="Normal 20 2" xfId="152"/>
    <cellStyle name="Normal 21" xfId="153"/>
    <cellStyle name="Normal 21 2" xfId="154"/>
    <cellStyle name="Normal 22" xfId="155"/>
    <cellStyle name="Normal 23" xfId="156"/>
    <cellStyle name="Normal 24" xfId="157"/>
    <cellStyle name="Normal 25" xfId="158"/>
    <cellStyle name="Normal 26" xfId="159"/>
    <cellStyle name="Normal 27" xfId="160"/>
    <cellStyle name="Normal 28" xfId="161"/>
    <cellStyle name="Normal 29" xfId="162"/>
    <cellStyle name="Normal 3" xfId="163"/>
    <cellStyle name="Normal 3 2" xfId="164"/>
    <cellStyle name="Normal 3 2 3" xfId="165"/>
    <cellStyle name="Normal 3_00130.010100448-CSG-LAFARGE.MATOZINHOS-06.01.2012-REAJUSTE.2012" xfId="166"/>
    <cellStyle name="Normal 30" xfId="167"/>
    <cellStyle name="Normal 31" xfId="168"/>
    <cellStyle name="Normal 32" xfId="169"/>
    <cellStyle name="Normal 33" xfId="170"/>
    <cellStyle name="Normal 34" xfId="171"/>
    <cellStyle name="Normal 35" xfId="172"/>
    <cellStyle name="Normal 36" xfId="173"/>
    <cellStyle name="Normal 37" xfId="174"/>
    <cellStyle name="Normal 38" xfId="175"/>
    <cellStyle name="Normal 39" xfId="176"/>
    <cellStyle name="Normal 4" xfId="177"/>
    <cellStyle name="Normal 4 2" xfId="178"/>
    <cellStyle name="Normal 40" xfId="179"/>
    <cellStyle name="Normal 41" xfId="180"/>
    <cellStyle name="Normal 42" xfId="181"/>
    <cellStyle name="Normal 43" xfId="182"/>
    <cellStyle name="Normal 44" xfId="183"/>
    <cellStyle name="Normal 45" xfId="184"/>
    <cellStyle name="Normal 46" xfId="185"/>
    <cellStyle name="Normal 47" xfId="186"/>
    <cellStyle name="Normal 48" xfId="187"/>
    <cellStyle name="Normal 49" xfId="188"/>
    <cellStyle name="Normal 5" xfId="189"/>
    <cellStyle name="Normal 5 2" xfId="190"/>
    <cellStyle name="Normal 50" xfId="191"/>
    <cellStyle name="Normal 51" xfId="192"/>
    <cellStyle name="Normal 52" xfId="193"/>
    <cellStyle name="Normal 53" xfId="194"/>
    <cellStyle name="Normal 54" xfId="195"/>
    <cellStyle name="Normal 55" xfId="196"/>
    <cellStyle name="Normal 56" xfId="197"/>
    <cellStyle name="Normal 57" xfId="198"/>
    <cellStyle name="Normal 58" xfId="199"/>
    <cellStyle name="Normal 59" xfId="200"/>
    <cellStyle name="Normal 6" xfId="201"/>
    <cellStyle name="Normal 60" xfId="202"/>
    <cellStyle name="Normal 61" xfId="203"/>
    <cellStyle name="Normal 62" xfId="204"/>
    <cellStyle name="Normal 63" xfId="205"/>
    <cellStyle name="Normal 64" xfId="206"/>
    <cellStyle name="Normal 65" xfId="207"/>
    <cellStyle name="Normal 66" xfId="208"/>
    <cellStyle name="Normal 67" xfId="209"/>
    <cellStyle name="Normal 68" xfId="210"/>
    <cellStyle name="Normal 69" xfId="211"/>
    <cellStyle name="Normal 7" xfId="212"/>
    <cellStyle name="Normal 7 2" xfId="213"/>
    <cellStyle name="Normal 70" xfId="214"/>
    <cellStyle name="Normal 71" xfId="215"/>
    <cellStyle name="Normal 72" xfId="216"/>
    <cellStyle name="Normal 73" xfId="217"/>
    <cellStyle name="Normal 74" xfId="218"/>
    <cellStyle name="Normal 75" xfId="219"/>
    <cellStyle name="Normal 75 2" xfId="220"/>
    <cellStyle name="Normal 76" xfId="221"/>
    <cellStyle name="Normal 77" xfId="222"/>
    <cellStyle name="Normal 78" xfId="223"/>
    <cellStyle name="Normal 79" xfId="224"/>
    <cellStyle name="Normal 8" xfId="225"/>
    <cellStyle name="Normal 8 2" xfId="226"/>
    <cellStyle name="Normal 80" xfId="227"/>
    <cellStyle name="Normal 81" xfId="228"/>
    <cellStyle name="Normal 82" xfId="229"/>
    <cellStyle name="Normal 83" xfId="230"/>
    <cellStyle name="Normal 84" xfId="231"/>
    <cellStyle name="Normal 85" xfId="232"/>
    <cellStyle name="Normal 86" xfId="233"/>
    <cellStyle name="Normal 87" xfId="234"/>
    <cellStyle name="Normal 88" xfId="235"/>
    <cellStyle name="Normal 89" xfId="236"/>
    <cellStyle name="Normal 9" xfId="237"/>
    <cellStyle name="Normal 90" xfId="238"/>
    <cellStyle name="Normal 91" xfId="239"/>
    <cellStyle name="Normal 92" xfId="240"/>
    <cellStyle name="Normal 93" xfId="241"/>
    <cellStyle name="Normal 94" xfId="242"/>
    <cellStyle name="Normal 95" xfId="243"/>
    <cellStyle name="Normal 96" xfId="244"/>
    <cellStyle name="Normal 97" xfId="245"/>
    <cellStyle name="Normal 98" xfId="246"/>
    <cellStyle name="Normal 99" xfId="247"/>
    <cellStyle name="Normal_Plan1 2" xfId="248"/>
    <cellStyle name="Normal_Proposta Final" xfId="249"/>
    <cellStyle name="Nota 2" xfId="250"/>
    <cellStyle name="Nota 2 2" xfId="251"/>
    <cellStyle name="Nota 3" xfId="252"/>
    <cellStyle name="Nota 3 2" xfId="253"/>
    <cellStyle name="Porcentagem" xfId="254" builtinId="5"/>
    <cellStyle name="Porcentagem 10" xfId="255"/>
    <cellStyle name="Porcentagem 2" xfId="256"/>
    <cellStyle name="Porcentagem 2 2" xfId="257"/>
    <cellStyle name="Porcentagem 2 2 2" xfId="258"/>
    <cellStyle name="Porcentagem 2 3" xfId="259"/>
    <cellStyle name="Porcentagem 2 3 2" xfId="260"/>
    <cellStyle name="Porcentagem 2 4" xfId="261"/>
    <cellStyle name="Porcentagem 3" xfId="262"/>
    <cellStyle name="Porcentagem 3 2" xfId="263"/>
    <cellStyle name="Porcentagem 3 2 2" xfId="264"/>
    <cellStyle name="Porcentagem 3 2 3" xfId="265"/>
    <cellStyle name="Porcentagem 3 3" xfId="266"/>
    <cellStyle name="Porcentagem 4" xfId="267"/>
    <cellStyle name="Porcentagem 4 2" xfId="268"/>
    <cellStyle name="Porcentagem 4 3" xfId="269"/>
    <cellStyle name="Porcentagem 5" xfId="270"/>
    <cellStyle name="Porcentagem 5 2" xfId="271"/>
    <cellStyle name="Porcentagem 6" xfId="272"/>
    <cellStyle name="Porcentagem 7" xfId="273"/>
    <cellStyle name="Porcentagem 8" xfId="274"/>
    <cellStyle name="Porcentagem 9" xfId="275"/>
    <cellStyle name="Saída 2" xfId="276"/>
    <cellStyle name="Saída 3" xfId="277"/>
    <cellStyle name="Separador de milhares 10" xfId="278"/>
    <cellStyle name="Separador de milhares 11" xfId="279"/>
    <cellStyle name="Separador de milhares 12" xfId="280"/>
    <cellStyle name="Separador de milhares 13" xfId="281"/>
    <cellStyle name="Separador de milhares 14" xfId="282"/>
    <cellStyle name="Separador de milhares 14 2" xfId="283"/>
    <cellStyle name="Separador de milhares 15" xfId="284"/>
    <cellStyle name="Separador de milhares 15 2" xfId="285"/>
    <cellStyle name="Separador de milhares 16" xfId="286"/>
    <cellStyle name="Separador de milhares 17" xfId="287"/>
    <cellStyle name="Separador de milhares 18" xfId="288"/>
    <cellStyle name="Separador de milhares 19" xfId="289"/>
    <cellStyle name="Separador de milhares 2" xfId="290"/>
    <cellStyle name="Separador de milhares 2 2" xfId="291"/>
    <cellStyle name="Separador de milhares 2 2 2" xfId="292"/>
    <cellStyle name="Separador de milhares 2 3" xfId="293"/>
    <cellStyle name="Separador de milhares 2 3 2" xfId="294"/>
    <cellStyle name="Separador de milhares 2 4" xfId="295"/>
    <cellStyle name="Separador de milhares 2 4 2" xfId="296"/>
    <cellStyle name="Separador de milhares 2 5" xfId="297"/>
    <cellStyle name="Separador de milhares 2 5 2" xfId="298"/>
    <cellStyle name="Separador de milhares 2_00130.010100448-LAFARGE.MATOZINHOS-07.06.11-CUSTOS DE IMPLANTAÇÃO-retif. Ronaldo" xfId="299"/>
    <cellStyle name="Separador de milhares 3" xfId="300"/>
    <cellStyle name="Separador de milhares 3 2" xfId="301"/>
    <cellStyle name="Separador de milhares 3 2 2" xfId="302"/>
    <cellStyle name="Separador de milhares 3 2 3 2" xfId="303"/>
    <cellStyle name="Separador de milhares 3 3" xfId="304"/>
    <cellStyle name="Separador de milhares 3 3 2" xfId="305"/>
    <cellStyle name="Separador de milhares 3 4" xfId="306"/>
    <cellStyle name="Separador de milhares 3 5" xfId="307"/>
    <cellStyle name="Separador de milhares 3_Cópia de CMLCSG041-2010 A" xfId="308"/>
    <cellStyle name="Separador de milhares 4" xfId="309"/>
    <cellStyle name="Separador de milhares 4 2" xfId="310"/>
    <cellStyle name="Separador de milhares 4 2 2" xfId="311"/>
    <cellStyle name="Separador de milhares 4 2 6" xfId="312"/>
    <cellStyle name="Separador de milhares 4 3" xfId="313"/>
    <cellStyle name="Separador de milhares 4 3 2" xfId="314"/>
    <cellStyle name="Separador de milhares 4_00130.010100448-LAFARGE.MATOZINHOS-07.06.11-CUSTOS DE IMPLANTAÇÃO-retif. Ronaldo" xfId="315"/>
    <cellStyle name="Separador de milhares 5" xfId="316"/>
    <cellStyle name="Separador de milhares 5 2" xfId="317"/>
    <cellStyle name="Separador de milhares 5 3" xfId="318"/>
    <cellStyle name="Separador de milhares 5 3 2" xfId="319"/>
    <cellStyle name="Separador de milhares 5 4" xfId="320"/>
    <cellStyle name="Separador de milhares 6" xfId="321"/>
    <cellStyle name="Separador de milhares 6 2" xfId="322"/>
    <cellStyle name="Separador de milhares 6 3" xfId="323"/>
    <cellStyle name="Separador de milhares 7" xfId="324"/>
    <cellStyle name="Separador de milhares 7 2" xfId="325"/>
    <cellStyle name="Separador de milhares 7 3" xfId="326"/>
    <cellStyle name="Separador de milhares 8" xfId="327"/>
    <cellStyle name="Separador de milhares 8 2" xfId="328"/>
    <cellStyle name="Separador de milhares 9" xfId="329"/>
    <cellStyle name="Separador de milhares_Resumo CCT" xfId="330"/>
    <cellStyle name="Texto de Aviso 2" xfId="331"/>
    <cellStyle name="Texto de Aviso 3" xfId="332"/>
    <cellStyle name="Texto Explicativo 2" xfId="333"/>
    <cellStyle name="Texto Explicativo 3" xfId="334"/>
    <cellStyle name="Título 1 1" xfId="335"/>
    <cellStyle name="Título 1 1 1" xfId="336"/>
    <cellStyle name="Título 1 1 1 1" xfId="337"/>
    <cellStyle name="Título 1 1 1 1 1" xfId="338"/>
    <cellStyle name="Título 1 1 1 1 1 1" xfId="339"/>
    <cellStyle name="Título 1 2" xfId="340"/>
    <cellStyle name="Título 1 3" xfId="341"/>
    <cellStyle name="Título 2 2" xfId="342"/>
    <cellStyle name="Título 2 3" xfId="343"/>
    <cellStyle name="Título 3 2" xfId="344"/>
    <cellStyle name="Título 3 3" xfId="345"/>
    <cellStyle name="Título 4 2" xfId="346"/>
    <cellStyle name="Título 4 3" xfId="347"/>
    <cellStyle name="Título 5" xfId="348"/>
    <cellStyle name="Título 6" xfId="349"/>
    <cellStyle name="Total 2" xfId="350"/>
    <cellStyle name="Total 3" xfId="351"/>
    <cellStyle name="Vírgula" xfId="352" builtinId="3"/>
    <cellStyle name="Vírgula 2" xfId="353"/>
    <cellStyle name="Vírgula 2 2" xfId="354"/>
    <cellStyle name="Vírgula 3" xfId="355"/>
    <cellStyle name="Vírgula 3 2" xfId="356"/>
    <cellStyle name="Vírgula 4" xfId="357"/>
    <cellStyle name="Vírgula 4 2" xfId="358"/>
    <cellStyle name="Vírgula 5" xfId="359"/>
  </cellStyles>
  <dxfs count="14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b/>
        <i val="0"/>
      </font>
    </dxf>
  </dxfs>
  <tableStyles count="1" defaultTableStyle="TableStyleMedium9" defaultPivotStyle="PivotStyleLight16">
    <tableStyle name="Estilo de Tabela Dinâmica 1" table="0" count="1">
      <tableStyleElement type="pageFieldLabels" dxfId="145"/>
    </tableStyle>
  </tableStyles>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externalLink" Target="externalLinks/externalLink11.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externalLink" Target="externalLinks/externalLink1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externalLink" Target="externalLinks/externalLink13.xml"/><Relationship Id="rId10" Type="http://schemas.openxmlformats.org/officeDocument/2006/relationships/worksheet" Target="worksheets/sheet10.xml"/><Relationship Id="rId19" Type="http://schemas.openxmlformats.org/officeDocument/2006/relationships/externalLink" Target="externalLinks/externalLink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externalLink" Target="externalLinks/externalLink12.xml"/><Relationship Id="rId30" Type="http://schemas.openxmlformats.org/officeDocument/2006/relationships/connections" Target="connections.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0094%20-%20PROCURADORIA\00094.010100464%20-%20IN&#205;CIO%2005.11.2011%20-%20MOTORISTAS\FATURAMENTO\VALE%20TRANSPORTE\2012\0094%20010100464-CSG%20M-PGJ%20%20-%2009%202012%20-%20VALE%20TRANSPORTE%20-%20Em%20Confec&#231;&#227;o.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0094%20-%20PROCURADORIA\00094.010100464%20-%20IN&#205;CIO%2005.11.2011%20-%20MOTORISTAS\FATURAMENTO\VALE%20TRANSPORTE\2012\0094.010100464-CSG.M-PGJ.%20-%2008%202012%20-%20VALE%20TRANSPORT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0094%20-%20PROCURADORIA\00094.010100422-PGJ-INICIO.04.11.2010%20-%20LIMPEZA%20E%20APOIO\FATURAMENTO\MAO%20DE%20OBRA\2013\0094%20010100422%20-%20CSG%20M%20-%20PGJ%20-%20%2027-11-2012%20-%20FATURAMENTO%2011%202012%20-%20APROVADO.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ileserver\diseg$\Relat&#243;rios\Planilha%20BI.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0094%20-%20PROCURADORIA\00094.010100422-PGJ-INICIO.04.11.2010%20-%20LIMPEZA%20E%20APOIO\CUSTO\CUSTO%20FATURAMENTO\CUSTO%20ATUAL\00094.010100422-CSG.M-PGJ.APOIO-03.12.2012-%20LOTE%201-%2026&#186;%20T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0094%20-%20PROCURADORIA\00094.010100422-PGJ-INICIO.04.11.2010%20-%20LIMPEZA%20E%20APOIO\FATURAMENTO\MAO%20DE%20OBRA\2013\0094.010100422-PGJ-11.04.2011-FATURAMENTO%2002%202011-REFORMULAD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0094%20-%20PROCURADORIA\0094.010100422-PGJ-INICIO.04.11.2010\CUSTO\CUSTO%203&#176;%20TERMO%20ADITIVO\0094.010100422-PGJ.MG-01.03.2011-CUSTO.3&#176;.TERMO.ADITIVO-LOTE%20%20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Users\Leonardo\AppData\Local\Temp\CUSTOS\ANEXO%20VII%20(Subanexo%20VI)%20-%20Apoio%20e%20Motoristas%20-14-07-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0094%20-%20PROCURADORIA\00094.010100422-PGJ-INICIO.04.11.2010%20-%20LIMPEZA%20E%20APOIO\CUSTO\CUSTO%2035&#186;%20TERMO%20ADITIVO\00094.010100422-CSG.M-PGJ.LIMP-REAJ-CCT%202013-EM%20ELAB-%2035&#18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0094%20-%20PROCURADORIA\00094.010100422-PGJ-INICIO.04.11.2010%20-%20LIMPEZA%20E%20APOIO\FATURAMENTO\MAO%20DE%20OBRA\2013\0094%20010100422%20-%20CSG%20M%20-%20PGJ%20-%20%2024-06-2013%20-%20FATURAMENTO%2006%202013%20-%20APROVAD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0094%20-%20PROCURADORIA\00094.010100422-PGJ-INICIO.04.11.2010%20-%20LIMPEZA%20E%20APOIO\FATURAMENTO\MAO%20DE%20OBRA\2013\DIFEREN&#199;AS\Diferen&#231;as%20-%2024&#176;%20TA\0094.010100422-PGJ-03.05.12-DIFEREN&#199;AS-08.201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0094%20-%20PROCURADORIA\00094.010100464%20-%20IN&#205;CIO%2005.11.2011%20-%20MOTORISTAS\FATURAMENTO\M&#195;O-DE-OBRA\2014\0094%20010100464%20-%20CSG%20M%20-%20PGJ%20-%20%2024-03-2014%20-%20FATURAMENTO%2003%202014%20-%20ALTERA&#199;&#195;O%20LDI%20-%20FATURAD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0094%20-%20PROCURADORIA\00094.010100422-PGJ-INICIO.04.11.2010%20-%20LIMPEZA%20E%20APOIO\REAJUSTE\REAJUSTE%202013\4&#186;%20PEDIDO%20-%20S&#195;O%20LOUREN&#199;O%20E%20REGI&#195;O\00094.010100422-CSG.M-PGJ.LIMP-REAJ-CCT%202013-EM%20ELAB-%202&#186;%20PARTE.CORRIGID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 VT - MOTORISTA"/>
      <sheetName val="Capital - Motoristas - VT "/>
      <sheetName val="Interior - Motoristas - VT"/>
      <sheetName val="Rel. MIX"/>
      <sheetName val="MIX - Beneficios"/>
    </sheetNames>
    <sheetDataSet>
      <sheetData sheetId="0" refreshError="1"/>
      <sheetData sheetId="1" refreshError="1"/>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T (2)"/>
      <sheetName val="FR. VT - MOTORISTA"/>
      <sheetName val="Capital"/>
      <sheetName val="Interior"/>
      <sheetName val="VT"/>
      <sheetName val="MIX"/>
    </sheetNames>
    <sheetDataSet>
      <sheetData sheetId="0"/>
      <sheetData sheetId="1"/>
      <sheetData sheetId="2"/>
      <sheetData sheetId="3"/>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OIO "/>
      <sheetName val="LIMPEZA "/>
      <sheetName val="CUSTO LOTE 1"/>
      <sheetName val="CUSTO LOTE 2"/>
      <sheetName val="JUN-2012"/>
      <sheetName val="MIX"/>
    </sheetNames>
    <sheetDataSet>
      <sheetData sheetId="0"/>
      <sheetData sheetId="1"/>
      <sheetData sheetId="2" refreshError="1">
        <row r="3">
          <cell r="D3" t="str">
            <v>FUNÇÕES/LOCALIDADE</v>
          </cell>
          <cell r="E3" t="str">
            <v>Valor Unitário</v>
          </cell>
          <cell r="F3" t="str">
            <v>Valor Unitário</v>
          </cell>
          <cell r="G3" t="str">
            <v>Valor Unitário</v>
          </cell>
          <cell r="H3" t="str">
            <v>Valor Unitário</v>
          </cell>
          <cell r="I3" t="str">
            <v>Valor Unitário</v>
          </cell>
          <cell r="J3" t="str">
            <v>Valor Unitário</v>
          </cell>
          <cell r="K3">
            <v>41289.601220023098</v>
          </cell>
        </row>
        <row r="4">
          <cell r="D4" t="str">
            <v>Águas Formosas</v>
          </cell>
          <cell r="E4">
            <v>0</v>
          </cell>
          <cell r="K4">
            <v>0</v>
          </cell>
        </row>
        <row r="5">
          <cell r="D5" t="str">
            <v>Aiuruoca</v>
          </cell>
          <cell r="E5">
            <v>0</v>
          </cell>
          <cell r="K5">
            <v>0</v>
          </cell>
        </row>
        <row r="6">
          <cell r="D6" t="str">
            <v>Auxiliar de Serviços GeraisAlfenas</v>
          </cell>
          <cell r="E6">
            <v>925.87</v>
          </cell>
          <cell r="F6">
            <v>1036.98</v>
          </cell>
          <cell r="G6">
            <v>1161.43</v>
          </cell>
          <cell r="K6">
            <v>1161.43</v>
          </cell>
        </row>
        <row r="7">
          <cell r="D7" t="str">
            <v>Porteiro 220 horasALMENARA / MG</v>
          </cell>
          <cell r="E7">
            <v>0</v>
          </cell>
          <cell r="F7">
            <v>1465.92</v>
          </cell>
          <cell r="G7">
            <v>1641.84</v>
          </cell>
          <cell r="K7">
            <v>1641.84</v>
          </cell>
        </row>
        <row r="8">
          <cell r="D8" t="str">
            <v>Porteiro 220 horasARAÇUAI / MG</v>
          </cell>
          <cell r="E8">
            <v>1308.8599999999999</v>
          </cell>
          <cell r="F8">
            <v>1465.92</v>
          </cell>
          <cell r="G8">
            <v>1641.84</v>
          </cell>
          <cell r="K8">
            <v>1641.84</v>
          </cell>
        </row>
        <row r="9">
          <cell r="D9" t="str">
            <v>Auxiliar de Serviços GeraisARAGUARI / MG</v>
          </cell>
          <cell r="E9">
            <v>936.43</v>
          </cell>
          <cell r="F9">
            <v>1048.8</v>
          </cell>
          <cell r="G9">
            <v>1174.67</v>
          </cell>
          <cell r="K9">
            <v>1174.67</v>
          </cell>
        </row>
        <row r="10">
          <cell r="D10" t="str">
            <v>Porteiro 220 horasARAGUARI / MG</v>
          </cell>
          <cell r="E10">
            <v>1308.8599999999999</v>
          </cell>
          <cell r="F10">
            <v>1465.92</v>
          </cell>
          <cell r="G10">
            <v>1641.83</v>
          </cell>
          <cell r="K10">
            <v>1641.83</v>
          </cell>
        </row>
        <row r="11">
          <cell r="D11" t="str">
            <v>Auxiliar de Serviços GeraisARAXÁ / MG</v>
          </cell>
          <cell r="E11">
            <v>956.55</v>
          </cell>
          <cell r="F11">
            <v>1071.32</v>
          </cell>
          <cell r="G11">
            <v>1199.8699999999999</v>
          </cell>
          <cell r="K11">
            <v>1199.8699999999999</v>
          </cell>
        </row>
        <row r="12">
          <cell r="D12" t="str">
            <v>Porteiro 150 horasARAXÁ / MG</v>
          </cell>
          <cell r="E12">
            <v>1013.05</v>
          </cell>
          <cell r="F12">
            <v>1134.6400000000001</v>
          </cell>
          <cell r="G12">
            <v>1270.78</v>
          </cell>
          <cell r="K12">
            <v>1270.78</v>
          </cell>
        </row>
        <row r="13">
          <cell r="D13" t="str">
            <v>RecepcionistaARAXÁ / MG</v>
          </cell>
          <cell r="E13">
            <v>1970.46</v>
          </cell>
          <cell r="F13">
            <v>2206.92</v>
          </cell>
          <cell r="G13">
            <v>2471.75</v>
          </cell>
          <cell r="K13">
            <v>2471.75</v>
          </cell>
        </row>
        <row r="14">
          <cell r="D14" t="str">
            <v>RecepcionistaARCOS / MG</v>
          </cell>
          <cell r="E14">
            <v>1970.46</v>
          </cell>
          <cell r="F14">
            <v>2206.92</v>
          </cell>
          <cell r="G14">
            <v>2471.75</v>
          </cell>
          <cell r="K14">
            <v>2471.75</v>
          </cell>
        </row>
        <row r="15">
          <cell r="D15" t="str">
            <v>Barbacena</v>
          </cell>
          <cell r="E15">
            <v>0</v>
          </cell>
          <cell r="F15">
            <v>0</v>
          </cell>
          <cell r="G15">
            <v>0</v>
          </cell>
          <cell r="K15">
            <v>0</v>
          </cell>
        </row>
        <row r="16">
          <cell r="D16" t="str">
            <v>Auxiliar de Serviços GeraisBETIM / MG</v>
          </cell>
          <cell r="E16">
            <v>961.97</v>
          </cell>
          <cell r="F16">
            <v>1077.3800000000001</v>
          </cell>
          <cell r="G16">
            <v>1206.67</v>
          </cell>
          <cell r="K16">
            <v>1206.67</v>
          </cell>
        </row>
        <row r="17">
          <cell r="D17" t="str">
            <v>RecepcionistaBETIM / MG</v>
          </cell>
          <cell r="E17">
            <v>1981.63</v>
          </cell>
          <cell r="F17">
            <v>2219.42</v>
          </cell>
          <cell r="G17">
            <v>2485.7600000000002</v>
          </cell>
          <cell r="K17">
            <v>2485.7600000000002</v>
          </cell>
        </row>
        <row r="18">
          <cell r="D18" t="str">
            <v>Auxiliar de Serviços GeraisCAMPO BELO / MG</v>
          </cell>
          <cell r="E18">
            <v>936.43</v>
          </cell>
          <cell r="F18">
            <v>1048.8</v>
          </cell>
          <cell r="G18">
            <v>1174.67</v>
          </cell>
          <cell r="K18">
            <v>1174.67</v>
          </cell>
        </row>
        <row r="19">
          <cell r="D19" t="str">
            <v>Porteiro 12x36 DiurnoCAETE / MG</v>
          </cell>
          <cell r="F19">
            <v>1498.2</v>
          </cell>
          <cell r="G19">
            <v>1677.97</v>
          </cell>
          <cell r="K19">
            <v>1677.97</v>
          </cell>
        </row>
        <row r="20">
          <cell r="D20" t="str">
            <v>Porteiro 12x36 NoturnoCAETE / MG</v>
          </cell>
          <cell r="F20">
            <v>1721.28</v>
          </cell>
          <cell r="G20">
            <v>1927.82</v>
          </cell>
          <cell r="K20">
            <v>1927.82</v>
          </cell>
        </row>
        <row r="21">
          <cell r="D21" t="str">
            <v>Auxiliar de Serviços GeraisCarangola / MG</v>
          </cell>
          <cell r="E21">
            <v>958.27</v>
          </cell>
          <cell r="F21">
            <v>1073.26</v>
          </cell>
          <cell r="G21">
            <v>1202.06</v>
          </cell>
          <cell r="K21">
            <v>1202.06</v>
          </cell>
        </row>
        <row r="22">
          <cell r="D22" t="str">
            <v>Auxiliar de Serviços GeraisCaratinga</v>
          </cell>
          <cell r="E22">
            <v>936.43</v>
          </cell>
          <cell r="F22">
            <v>1048.8</v>
          </cell>
          <cell r="G22">
            <v>1174.67</v>
          </cell>
          <cell r="K22">
            <v>1174.67</v>
          </cell>
        </row>
        <row r="23">
          <cell r="D23" t="str">
            <v>Carmo do Paranaíba</v>
          </cell>
          <cell r="E23">
            <v>0</v>
          </cell>
          <cell r="F23">
            <v>0</v>
          </cell>
          <cell r="G23">
            <v>0</v>
          </cell>
          <cell r="K23">
            <v>0</v>
          </cell>
        </row>
        <row r="24">
          <cell r="D24" t="str">
            <v>Auxiliar de Serviços GeraisCONGONHAS / MG</v>
          </cell>
          <cell r="E24">
            <v>925.87</v>
          </cell>
          <cell r="F24">
            <v>1036.98</v>
          </cell>
          <cell r="G24">
            <v>1161.43</v>
          </cell>
          <cell r="K24">
            <v>1161.43</v>
          </cell>
        </row>
        <row r="25">
          <cell r="D25" t="str">
            <v>Porteiro 12x36 NoturnoCONGONHAS / MG</v>
          </cell>
          <cell r="F25">
            <v>1565.31</v>
          </cell>
          <cell r="G25">
            <v>1753.15</v>
          </cell>
          <cell r="K25">
            <v>1753.15</v>
          </cell>
        </row>
        <row r="26">
          <cell r="D26" t="str">
            <v>Auxiliar de Serviços GeraisCONSELHEIRO LAFAIETE / MG</v>
          </cell>
          <cell r="E26">
            <v>947.22</v>
          </cell>
          <cell r="F26">
            <v>1060.8900000000001</v>
          </cell>
          <cell r="G26">
            <v>1188.21</v>
          </cell>
          <cell r="K26">
            <v>1188.21</v>
          </cell>
        </row>
        <row r="27">
          <cell r="D27" t="str">
            <v>RecepcionistaCONSELHEIRO LAFAIETE / MG</v>
          </cell>
          <cell r="E27">
            <v>2015.89</v>
          </cell>
          <cell r="F27">
            <v>2257.8000000000002</v>
          </cell>
          <cell r="G27">
            <v>2528.7399999999998</v>
          </cell>
          <cell r="K27">
            <v>2528.7399999999998</v>
          </cell>
        </row>
        <row r="28">
          <cell r="D28" t="str">
            <v>Porteiro 12x36 DiurnoCONSELHEIRO LAFAIETE / MG</v>
          </cell>
          <cell r="F28">
            <v>1393.85</v>
          </cell>
          <cell r="G28">
            <v>1561.12</v>
          </cell>
          <cell r="K28">
            <v>1561.12</v>
          </cell>
        </row>
        <row r="29">
          <cell r="D29" t="str">
            <v>Porteiro 12x36 NoturnoCONSELHEIRO LAFAIETE / MG</v>
          </cell>
          <cell r="F29">
            <v>1601.4</v>
          </cell>
          <cell r="G29">
            <v>1793.57</v>
          </cell>
          <cell r="K29">
            <v>1793.57</v>
          </cell>
        </row>
        <row r="30">
          <cell r="D30" t="str">
            <v>Auxiliar de Serviços GeraisCONTAGEM / MG</v>
          </cell>
          <cell r="E30">
            <v>956.55</v>
          </cell>
          <cell r="F30">
            <v>1071.31</v>
          </cell>
          <cell r="G30">
            <v>1199.8699999999999</v>
          </cell>
          <cell r="K30">
            <v>1199.8699999999999</v>
          </cell>
        </row>
        <row r="31">
          <cell r="D31" t="str">
            <v>CopeiroCONTAGEM / MG</v>
          </cell>
          <cell r="E31">
            <v>956.55</v>
          </cell>
          <cell r="F31">
            <v>1071.31</v>
          </cell>
          <cell r="G31">
            <v>1199.8699999999999</v>
          </cell>
          <cell r="K31">
            <v>1199.8699999999999</v>
          </cell>
        </row>
        <row r="32">
          <cell r="D32" t="str">
            <v>Digitador 150 horasCONTAGEM / MG</v>
          </cell>
          <cell r="E32">
            <v>1065.26</v>
          </cell>
          <cell r="F32">
            <v>1194.8499999999999</v>
          </cell>
          <cell r="G32">
            <v>1338.23</v>
          </cell>
          <cell r="K32">
            <v>1338.23</v>
          </cell>
        </row>
        <row r="33">
          <cell r="D33" t="str">
            <v>RecepcionistaCONTAGEM / MG</v>
          </cell>
          <cell r="E33">
            <v>1970.46</v>
          </cell>
          <cell r="F33">
            <v>2206.92</v>
          </cell>
          <cell r="G33">
            <v>2471.75</v>
          </cell>
          <cell r="K33">
            <v>2471.75</v>
          </cell>
        </row>
        <row r="34">
          <cell r="D34" t="str">
            <v>Conquista</v>
          </cell>
          <cell r="E34">
            <v>0</v>
          </cell>
          <cell r="F34">
            <v>0</v>
          </cell>
          <cell r="G34">
            <v>0</v>
          </cell>
          <cell r="K34">
            <v>0</v>
          </cell>
        </row>
        <row r="35">
          <cell r="D35" t="str">
            <v>Corinto</v>
          </cell>
          <cell r="E35">
            <v>0</v>
          </cell>
          <cell r="F35">
            <v>0</v>
          </cell>
          <cell r="G35">
            <v>0</v>
          </cell>
          <cell r="K35">
            <v>0</v>
          </cell>
        </row>
        <row r="36">
          <cell r="D36" t="str">
            <v>Coromandel</v>
          </cell>
          <cell r="E36">
            <v>0</v>
          </cell>
          <cell r="F36">
            <v>0</v>
          </cell>
          <cell r="G36">
            <v>0</v>
          </cell>
          <cell r="K36">
            <v>0</v>
          </cell>
        </row>
        <row r="37">
          <cell r="D37" t="str">
            <v>Auxiliar de Serviços GeraisDIAMANTINA/MG</v>
          </cell>
          <cell r="E37">
            <v>958.27</v>
          </cell>
          <cell r="F37">
            <v>1073.26</v>
          </cell>
          <cell r="G37">
            <v>1202.07</v>
          </cell>
          <cell r="K37">
            <v>1202.07</v>
          </cell>
        </row>
        <row r="38">
          <cell r="D38" t="str">
            <v>Porteiro 12x36 DiurnoDIAMANTINA/MG</v>
          </cell>
          <cell r="G38">
            <v>1579.32</v>
          </cell>
          <cell r="K38">
            <v>1579.32</v>
          </cell>
        </row>
        <row r="39">
          <cell r="D39" t="str">
            <v>Porteiro 12x36 NoturnoDIAMANTINA/MG</v>
          </cell>
          <cell r="G39">
            <v>1814.48</v>
          </cell>
          <cell r="K39">
            <v>1814.48</v>
          </cell>
        </row>
        <row r="40">
          <cell r="D40" t="str">
            <v>Auxiliar de Serviços GeraisDIVINÓPOLIS / MG</v>
          </cell>
          <cell r="E40">
            <v>990.02</v>
          </cell>
          <cell r="F40">
            <v>1108.8</v>
          </cell>
          <cell r="G40">
            <v>1241.8399999999999</v>
          </cell>
          <cell r="K40">
            <v>1241.8399999999999</v>
          </cell>
        </row>
        <row r="41">
          <cell r="D41" t="str">
            <v>RecepcionistaDIVINÓPOLIS / MG</v>
          </cell>
          <cell r="E41">
            <v>2039.4</v>
          </cell>
          <cell r="F41">
            <v>2284.13</v>
          </cell>
          <cell r="G41">
            <v>2558.2199999999998</v>
          </cell>
          <cell r="K41">
            <v>2558.2199999999998</v>
          </cell>
        </row>
        <row r="42">
          <cell r="D42" t="str">
            <v>Auxiliar de Serviços GeraisFormiga</v>
          </cell>
          <cell r="E42">
            <v>925.87</v>
          </cell>
          <cell r="F42">
            <v>1036.98</v>
          </cell>
          <cell r="G42">
            <v>1161.43</v>
          </cell>
          <cell r="K42">
            <v>1161.43</v>
          </cell>
        </row>
        <row r="43">
          <cell r="D43" t="str">
            <v>Frutal</v>
          </cell>
          <cell r="E43">
            <v>0</v>
          </cell>
          <cell r="F43">
            <v>0</v>
          </cell>
          <cell r="G43">
            <v>0</v>
          </cell>
          <cell r="K43">
            <v>0</v>
          </cell>
        </row>
        <row r="44">
          <cell r="D44" t="str">
            <v>Auxiliar de Serviços GeraisGOVERNADOR VALADARES / MG</v>
          </cell>
          <cell r="E44">
            <v>990.02</v>
          </cell>
          <cell r="F44">
            <v>1108.79</v>
          </cell>
          <cell r="G44">
            <v>1241.8399999999999</v>
          </cell>
          <cell r="K44">
            <v>1241.8399999999999</v>
          </cell>
        </row>
        <row r="45">
          <cell r="D45" t="str">
            <v>Porteiro 12x36 DiurnoGOVERNADOR VALADARES / MG</v>
          </cell>
          <cell r="E45">
            <v>1368.87</v>
          </cell>
          <cell r="F45">
            <v>1533.13</v>
          </cell>
          <cell r="G45">
            <v>1717.11</v>
          </cell>
          <cell r="K45">
            <v>1717.11</v>
          </cell>
        </row>
        <row r="46">
          <cell r="D46" t="str">
            <v>Porteiro 12x36 NoturnoGOVERNADOR VALADARES / MG</v>
          </cell>
          <cell r="E46">
            <v>1572.69</v>
          </cell>
          <cell r="F46">
            <v>1761.42</v>
          </cell>
          <cell r="G46">
            <v>1972.79</v>
          </cell>
          <cell r="K46">
            <v>1972.79</v>
          </cell>
        </row>
        <row r="47">
          <cell r="D47" t="str">
            <v>Guanhães</v>
          </cell>
          <cell r="E47">
            <v>0</v>
          </cell>
          <cell r="F47">
            <v>0</v>
          </cell>
          <cell r="G47">
            <v>0</v>
          </cell>
          <cell r="K47">
            <v>0</v>
          </cell>
        </row>
        <row r="48">
          <cell r="D48" t="str">
            <v>Porteiro 220 horasIBIÁ / MG</v>
          </cell>
          <cell r="E48">
            <v>1294.1099999999999</v>
          </cell>
          <cell r="F48">
            <v>1449.4</v>
          </cell>
          <cell r="G48">
            <v>1623.33</v>
          </cell>
          <cell r="K48">
            <v>1623.33</v>
          </cell>
        </row>
        <row r="49">
          <cell r="D49" t="str">
            <v>Porteiro 220 horasIBIRITÉ/MG</v>
          </cell>
          <cell r="E49">
            <v>1407.02</v>
          </cell>
          <cell r="F49">
            <v>1575.86</v>
          </cell>
          <cell r="G49">
            <v>1764.96</v>
          </cell>
          <cell r="K49">
            <v>1764.96</v>
          </cell>
        </row>
        <row r="50">
          <cell r="D50" t="str">
            <v>Porteiro 12x36 DiurnoIBIRITÉ/MG</v>
          </cell>
          <cell r="F50">
            <v>1481.3</v>
          </cell>
          <cell r="G50">
            <v>1659.06</v>
          </cell>
          <cell r="K50">
            <v>1659.06</v>
          </cell>
        </row>
        <row r="51">
          <cell r="D51" t="str">
            <v>Porteiro 12x36 NoturnoIBIRITÉ/MG</v>
          </cell>
          <cell r="F51">
            <v>1701.87</v>
          </cell>
          <cell r="G51">
            <v>1906.1</v>
          </cell>
          <cell r="K51">
            <v>1906.1</v>
          </cell>
        </row>
        <row r="52">
          <cell r="D52" t="str">
            <v>Auxiliar de Serviços GeraisIPATINGA / MG</v>
          </cell>
          <cell r="E52">
            <v>936.43</v>
          </cell>
          <cell r="F52">
            <v>1083.52</v>
          </cell>
          <cell r="G52">
            <v>0</v>
          </cell>
          <cell r="K52">
            <v>1083.52</v>
          </cell>
        </row>
        <row r="53">
          <cell r="D53" t="str">
            <v>RecepcionistaIPATINGA / MG</v>
          </cell>
          <cell r="E53">
            <v>1992.92</v>
          </cell>
          <cell r="F53">
            <v>2232.0700000000002</v>
          </cell>
          <cell r="G53">
            <v>2499.92</v>
          </cell>
          <cell r="K53">
            <v>2499.92</v>
          </cell>
        </row>
        <row r="54">
          <cell r="D54" t="str">
            <v>Itabirito</v>
          </cell>
          <cell r="E54">
            <v>0</v>
          </cell>
          <cell r="F54">
            <v>0</v>
          </cell>
          <cell r="G54">
            <v>0</v>
          </cell>
          <cell r="K54">
            <v>0</v>
          </cell>
        </row>
        <row r="55">
          <cell r="D55" t="str">
            <v>Porteiro 12x36 DiurnoITABIRA/MG</v>
          </cell>
          <cell r="G55">
            <v>1543.33</v>
          </cell>
          <cell r="K55">
            <v>1543.33</v>
          </cell>
        </row>
        <row r="56">
          <cell r="D56" t="str">
            <v>Porteiro 12x36 NoturnoITABIRA/MG</v>
          </cell>
          <cell r="G56">
            <v>1773.13</v>
          </cell>
          <cell r="K56">
            <v>1773.13</v>
          </cell>
        </row>
        <row r="57">
          <cell r="D57" t="str">
            <v>Auxiliar de Serviços GeraisITAJUBÁ / MG</v>
          </cell>
          <cell r="E57">
            <v>925.87</v>
          </cell>
          <cell r="F57">
            <v>1036.98</v>
          </cell>
          <cell r="G57">
            <v>1161.44</v>
          </cell>
          <cell r="K57">
            <v>1161.44</v>
          </cell>
        </row>
        <row r="58">
          <cell r="D58" t="str">
            <v>Porteiro 220 horasITAJUBÁ / MG</v>
          </cell>
          <cell r="E58">
            <v>1294.1099999999999</v>
          </cell>
          <cell r="F58">
            <v>1449.4</v>
          </cell>
          <cell r="G58">
            <v>1623.33</v>
          </cell>
          <cell r="K58">
            <v>1623.33</v>
          </cell>
        </row>
        <row r="59">
          <cell r="D59" t="str">
            <v>Auxiliar de Serviços GeraisITAMONTE / MG</v>
          </cell>
          <cell r="E59">
            <v>936.43</v>
          </cell>
          <cell r="F59">
            <v>1048.8</v>
          </cell>
          <cell r="G59">
            <v>1174.67</v>
          </cell>
          <cell r="K59">
            <v>1174.67</v>
          </cell>
        </row>
        <row r="60">
          <cell r="D60" t="str">
            <v>Porteiro 220 horasITAÚNA / MG</v>
          </cell>
          <cell r="E60">
            <v>1294.1099999999999</v>
          </cell>
          <cell r="F60">
            <v>1449.4</v>
          </cell>
          <cell r="G60">
            <v>1623.34</v>
          </cell>
          <cell r="K60">
            <v>1623.34</v>
          </cell>
        </row>
        <row r="61">
          <cell r="D61" t="str">
            <v>Auxiliar de Serviços GeraisITUIUTABA / MG</v>
          </cell>
          <cell r="E61">
            <v>947.22</v>
          </cell>
          <cell r="F61">
            <v>1060.8900000000001</v>
          </cell>
          <cell r="G61">
            <v>1188.21</v>
          </cell>
          <cell r="K61">
            <v>1188.21</v>
          </cell>
        </row>
        <row r="62">
          <cell r="D62" t="str">
            <v>Porteiro 220 horasITUIUTABA / MG</v>
          </cell>
          <cell r="F62">
            <v>1482.82</v>
          </cell>
          <cell r="G62">
            <v>1660.76</v>
          </cell>
          <cell r="K62">
            <v>1660.76</v>
          </cell>
        </row>
        <row r="63">
          <cell r="D63" t="str">
            <v>Digitador 150 horasITAMBACURI/MG</v>
          </cell>
          <cell r="F63">
            <v>1208.47</v>
          </cell>
          <cell r="G63">
            <v>1353.48</v>
          </cell>
          <cell r="K63">
            <v>1353.48</v>
          </cell>
        </row>
        <row r="64">
          <cell r="D64" t="str">
            <v>Janaúba</v>
          </cell>
          <cell r="E64">
            <v>0</v>
          </cell>
          <cell r="F64">
            <v>0</v>
          </cell>
          <cell r="G64">
            <v>0</v>
          </cell>
          <cell r="K64">
            <v>0</v>
          </cell>
        </row>
        <row r="65">
          <cell r="D65" t="str">
            <v>Porteiro 220 horasJANUÁRIA / MG</v>
          </cell>
          <cell r="E65">
            <v>1308.8599999999999</v>
          </cell>
          <cell r="F65">
            <v>1465.92</v>
          </cell>
          <cell r="G65">
            <v>1641.83</v>
          </cell>
          <cell r="K65">
            <v>1641.83</v>
          </cell>
        </row>
        <row r="66">
          <cell r="D66" t="str">
            <v>João Pinheiro</v>
          </cell>
          <cell r="E66">
            <v>0</v>
          </cell>
          <cell r="F66">
            <v>0</v>
          </cell>
          <cell r="G66">
            <v>0</v>
          </cell>
          <cell r="K66">
            <v>0</v>
          </cell>
        </row>
        <row r="67">
          <cell r="D67" t="str">
            <v>Auxiliar de Serviços GeraisJUIZ DE FORA / MG</v>
          </cell>
          <cell r="E67">
            <v>999.9</v>
          </cell>
          <cell r="F67">
            <v>1058.3900000000001</v>
          </cell>
          <cell r="G67">
            <v>1217.1600000000001</v>
          </cell>
          <cell r="K67">
            <v>1217.1600000000001</v>
          </cell>
        </row>
        <row r="68">
          <cell r="D68" t="str">
            <v>Auxiliar de Serviços GeraisLAVRAS / MG</v>
          </cell>
          <cell r="E68">
            <v>958.27</v>
          </cell>
          <cell r="F68">
            <v>1073.26</v>
          </cell>
          <cell r="G68">
            <v>1202.07</v>
          </cell>
          <cell r="K68">
            <v>1202.07</v>
          </cell>
        </row>
        <row r="69">
          <cell r="D69" t="str">
            <v>Porteiro 220 horasLAVRAS / MG</v>
          </cell>
          <cell r="E69">
            <v>1339.38</v>
          </cell>
          <cell r="F69">
            <v>1500.11</v>
          </cell>
          <cell r="G69">
            <v>1680.12</v>
          </cell>
          <cell r="K69">
            <v>1680.12</v>
          </cell>
        </row>
        <row r="70">
          <cell r="D70" t="str">
            <v>RecepcionistaLAVRAS / MG</v>
          </cell>
          <cell r="E70">
            <v>2039.4</v>
          </cell>
          <cell r="F70">
            <v>2284.13</v>
          </cell>
          <cell r="G70">
            <v>2558.2199999999998</v>
          </cell>
          <cell r="K70">
            <v>2558.2199999999998</v>
          </cell>
        </row>
        <row r="71">
          <cell r="D71" t="str">
            <v>Leopoldina</v>
          </cell>
          <cell r="E71">
            <v>0</v>
          </cell>
          <cell r="F71">
            <v>0</v>
          </cell>
          <cell r="G71">
            <v>0</v>
          </cell>
          <cell r="K71">
            <v>0</v>
          </cell>
        </row>
        <row r="72">
          <cell r="D72" t="str">
            <v>Digitador 150 horasMACHADO / MG</v>
          </cell>
          <cell r="E72">
            <v>1065.26</v>
          </cell>
          <cell r="F72">
            <v>1194.8499999999999</v>
          </cell>
          <cell r="G72">
            <v>1338.23</v>
          </cell>
          <cell r="K72">
            <v>1338.23</v>
          </cell>
        </row>
        <row r="73">
          <cell r="D73" t="str">
            <v>Porteiro 12x36 DiurnoMANGA/MG</v>
          </cell>
          <cell r="E73">
            <v>0</v>
          </cell>
          <cell r="F73">
            <v>0</v>
          </cell>
          <cell r="G73">
            <v>1525.93</v>
          </cell>
          <cell r="K73">
            <v>1525.93</v>
          </cell>
        </row>
        <row r="74">
          <cell r="D74" t="str">
            <v>Porteiro 12x36 NoturnoMANGA/MG</v>
          </cell>
          <cell r="G74">
            <v>1753.15</v>
          </cell>
          <cell r="K74">
            <v>1753.15</v>
          </cell>
        </row>
        <row r="75">
          <cell r="D75" t="str">
            <v>Mateus Leme</v>
          </cell>
          <cell r="E75">
            <v>0</v>
          </cell>
          <cell r="F75">
            <v>0</v>
          </cell>
          <cell r="G75">
            <v>0</v>
          </cell>
          <cell r="K75">
            <v>0</v>
          </cell>
        </row>
        <row r="76">
          <cell r="D76" t="str">
            <v>Porteiro 12x36 DiurnoMONTES CLAROS/MG</v>
          </cell>
          <cell r="E76">
            <v>0</v>
          </cell>
          <cell r="F76">
            <v>1498.2</v>
          </cell>
          <cell r="G76">
            <v>1677.96</v>
          </cell>
          <cell r="K76">
            <v>1677.96</v>
          </cell>
        </row>
        <row r="77">
          <cell r="D77" t="str">
            <v>Porteiro 12x36 NoturnoMONTES CLAROS/MG</v>
          </cell>
          <cell r="E77">
            <v>0</v>
          </cell>
          <cell r="F77">
            <v>1721.28</v>
          </cell>
          <cell r="G77">
            <v>1927.81</v>
          </cell>
          <cell r="K77">
            <v>1927.81</v>
          </cell>
        </row>
        <row r="78">
          <cell r="D78" t="str">
            <v>Auxiliar de Serviços GeraisMORADA NOVA DE MINAS / MG</v>
          </cell>
          <cell r="E78">
            <v>925.87</v>
          </cell>
          <cell r="F78">
            <v>1036.98</v>
          </cell>
          <cell r="G78">
            <v>1161.44</v>
          </cell>
          <cell r="K78">
            <v>1161.44</v>
          </cell>
        </row>
        <row r="79">
          <cell r="D79" t="str">
            <v>Auxiliar de Serviços GeraisMURIAÉ/MG</v>
          </cell>
          <cell r="E79">
            <v>936.43</v>
          </cell>
          <cell r="F79">
            <v>1048.8</v>
          </cell>
          <cell r="G79">
            <v>1174.67</v>
          </cell>
          <cell r="K79">
            <v>1174.67</v>
          </cell>
        </row>
        <row r="80">
          <cell r="D80" t="str">
            <v>Auxiliar de Serviços GeraisNOVA LIMA / MG</v>
          </cell>
          <cell r="E80">
            <v>967.46</v>
          </cell>
          <cell r="F80">
            <v>1083.51</v>
          </cell>
          <cell r="G80">
            <v>1213.55</v>
          </cell>
          <cell r="K80">
            <v>1213.55</v>
          </cell>
        </row>
        <row r="81">
          <cell r="D81" t="str">
            <v>Porteiro 12x36 DiurnoNOVA LIMA / MG</v>
          </cell>
          <cell r="E81">
            <v>1337.67</v>
          </cell>
          <cell r="F81">
            <v>1498.18</v>
          </cell>
          <cell r="G81">
            <v>1677.97</v>
          </cell>
          <cell r="K81">
            <v>1677.97</v>
          </cell>
        </row>
        <row r="82">
          <cell r="D82" t="str">
            <v>Porteiro 12x36 NoturnoNOVA LIMA / MG</v>
          </cell>
          <cell r="E82">
            <v>1536.85</v>
          </cell>
          <cell r="F82">
            <v>1721.26</v>
          </cell>
          <cell r="G82">
            <v>1927.82</v>
          </cell>
          <cell r="K82">
            <v>1927.82</v>
          </cell>
        </row>
        <row r="83">
          <cell r="D83" t="str">
            <v>RecepcionistaNOVA LIMA / MG</v>
          </cell>
          <cell r="F83">
            <v>2232.08</v>
          </cell>
          <cell r="G83">
            <v>2499.92</v>
          </cell>
          <cell r="K83">
            <v>2499.92</v>
          </cell>
        </row>
        <row r="84">
          <cell r="D84" t="str">
            <v>Porteiro 220 horasNOVA PONTE / MG</v>
          </cell>
          <cell r="E84">
            <v>1294.1099999999999</v>
          </cell>
          <cell r="F84">
            <v>1449.4</v>
          </cell>
          <cell r="G84">
            <v>1623.33</v>
          </cell>
          <cell r="K84">
            <v>1623.33</v>
          </cell>
        </row>
        <row r="85">
          <cell r="D85" t="str">
            <v>Auxiliar de Serviços GeraisNOVA SERRANA / MG</v>
          </cell>
          <cell r="E85">
            <v>925.87</v>
          </cell>
          <cell r="F85">
            <v>1036.98</v>
          </cell>
          <cell r="G85">
            <v>1161.43</v>
          </cell>
          <cell r="K85">
            <v>1161.43</v>
          </cell>
        </row>
        <row r="86">
          <cell r="D86" t="str">
            <v>Oliveira</v>
          </cell>
          <cell r="E86">
            <v>0</v>
          </cell>
          <cell r="F86">
            <v>0</v>
          </cell>
          <cell r="G86">
            <v>0</v>
          </cell>
          <cell r="K86">
            <v>0</v>
          </cell>
        </row>
        <row r="87">
          <cell r="D87" t="str">
            <v>Porteiro 220 horasOURO PRETO / MG</v>
          </cell>
          <cell r="E87">
            <v>1308.8599999999999</v>
          </cell>
          <cell r="F87">
            <v>1465.92</v>
          </cell>
          <cell r="G87">
            <v>1641.84</v>
          </cell>
          <cell r="K87">
            <v>1641.84</v>
          </cell>
        </row>
        <row r="88">
          <cell r="D88" t="str">
            <v>Pará de Minas</v>
          </cell>
          <cell r="E88">
            <v>0</v>
          </cell>
          <cell r="F88">
            <v>0</v>
          </cell>
          <cell r="G88">
            <v>0</v>
          </cell>
          <cell r="K88">
            <v>0</v>
          </cell>
        </row>
        <row r="89">
          <cell r="D89" t="str">
            <v>Paracatu</v>
          </cell>
          <cell r="E89">
            <v>0</v>
          </cell>
          <cell r="F89">
            <v>0</v>
          </cell>
          <cell r="G89">
            <v>0</v>
          </cell>
          <cell r="K89">
            <v>0</v>
          </cell>
        </row>
        <row r="90">
          <cell r="D90" t="str">
            <v>Auxiliar de Serviços GeraisPASSOS/MG</v>
          </cell>
          <cell r="E90">
            <v>936.43</v>
          </cell>
          <cell r="F90">
            <v>1048.8</v>
          </cell>
          <cell r="G90">
            <v>1174.67</v>
          </cell>
          <cell r="K90">
            <v>1174.67</v>
          </cell>
        </row>
        <row r="91">
          <cell r="D91" t="str">
            <v>Porteiro 220 horasPASSOS/MG</v>
          </cell>
          <cell r="G91">
            <v>1641.84</v>
          </cell>
          <cell r="K91">
            <v>1641.84</v>
          </cell>
        </row>
        <row r="92">
          <cell r="D92" t="str">
            <v>RecepcionistaPASSOS/MG</v>
          </cell>
          <cell r="E92">
            <v>1992.92</v>
          </cell>
          <cell r="F92">
            <v>2232.0700000000002</v>
          </cell>
          <cell r="G92">
            <v>2499.92</v>
          </cell>
          <cell r="K92">
            <v>2499.92</v>
          </cell>
        </row>
        <row r="93">
          <cell r="D93" t="str">
            <v>Auxiliar de Serviços GeraisPatos de Minas</v>
          </cell>
          <cell r="E93">
            <v>925.87</v>
          </cell>
          <cell r="F93">
            <v>1036.98</v>
          </cell>
          <cell r="G93">
            <v>1161.43</v>
          </cell>
          <cell r="K93">
            <v>1161.43</v>
          </cell>
        </row>
        <row r="94">
          <cell r="D94" t="str">
            <v>Auxiliar de Serviços GeraisPEDRO LEOPOLDO / MG</v>
          </cell>
          <cell r="E94">
            <v>956.55</v>
          </cell>
          <cell r="F94">
            <v>1071.32</v>
          </cell>
          <cell r="G94">
            <v>1199.8699999999999</v>
          </cell>
          <cell r="K94">
            <v>1199.8699999999999</v>
          </cell>
        </row>
        <row r="95">
          <cell r="D95" t="str">
            <v>RecepcionistaPEDRO LEOPOLDO / MG</v>
          </cell>
          <cell r="E95">
            <v>1970.46</v>
          </cell>
          <cell r="F95">
            <v>2206.92</v>
          </cell>
          <cell r="G95">
            <v>2471.75</v>
          </cell>
          <cell r="K95">
            <v>2471.75</v>
          </cell>
        </row>
        <row r="96">
          <cell r="D96" t="str">
            <v>Auxiliar de Serviços GeraisPirapetinga</v>
          </cell>
          <cell r="E96">
            <v>925.87</v>
          </cell>
          <cell r="F96">
            <v>1036.98</v>
          </cell>
          <cell r="G96">
            <v>1161.43</v>
          </cell>
          <cell r="K96">
            <v>1161.43</v>
          </cell>
        </row>
        <row r="97">
          <cell r="D97" t="str">
            <v>Digitador 150 horasPITANGUI / MG</v>
          </cell>
          <cell r="E97">
            <v>1065.26</v>
          </cell>
          <cell r="F97">
            <v>1194.8499999999999</v>
          </cell>
          <cell r="G97">
            <v>1338.23</v>
          </cell>
          <cell r="K97">
            <v>1338.23</v>
          </cell>
        </row>
        <row r="98">
          <cell r="D98" t="str">
            <v>Piunhi</v>
          </cell>
          <cell r="E98">
            <v>0</v>
          </cell>
          <cell r="F98">
            <v>0</v>
          </cell>
          <cell r="G98">
            <v>0</v>
          </cell>
          <cell r="K98">
            <v>0</v>
          </cell>
        </row>
        <row r="99">
          <cell r="D99" t="str">
            <v>Poço Fundo</v>
          </cell>
          <cell r="E99">
            <v>0</v>
          </cell>
          <cell r="F99">
            <v>0</v>
          </cell>
          <cell r="G99">
            <v>0</v>
          </cell>
          <cell r="K99">
            <v>0</v>
          </cell>
        </row>
        <row r="100">
          <cell r="D100" t="str">
            <v>Auxiliar de Serviços GeraisPoços de Caldas</v>
          </cell>
          <cell r="E100">
            <v>958.27</v>
          </cell>
          <cell r="F100">
            <v>1073.26</v>
          </cell>
          <cell r="G100">
            <v>1202.06</v>
          </cell>
          <cell r="K100">
            <v>1202.06</v>
          </cell>
        </row>
        <row r="101">
          <cell r="D101" t="str">
            <v>Porteiro 220 horasPONTE NOVA / MG</v>
          </cell>
          <cell r="E101">
            <v>1308.8599999999999</v>
          </cell>
          <cell r="F101">
            <v>1465.92</v>
          </cell>
          <cell r="G101">
            <v>1641.84</v>
          </cell>
          <cell r="K101">
            <v>1641.84</v>
          </cell>
        </row>
        <row r="102">
          <cell r="D102" t="str">
            <v>Porteiro 12x36 NoturnoPONTE NOVA / MG</v>
          </cell>
          <cell r="E102">
            <v>1413.52</v>
          </cell>
          <cell r="F102">
            <v>1583.15</v>
          </cell>
          <cell r="G102">
            <v>1773.13</v>
          </cell>
          <cell r="K102">
            <v>1773.13</v>
          </cell>
        </row>
        <row r="103">
          <cell r="D103" t="str">
            <v>Porteirinha</v>
          </cell>
          <cell r="E103">
            <v>0</v>
          </cell>
          <cell r="F103">
            <v>0</v>
          </cell>
          <cell r="G103">
            <v>0</v>
          </cell>
          <cell r="K103">
            <v>0</v>
          </cell>
        </row>
        <row r="104">
          <cell r="D104" t="str">
            <v>Auxiliar de Serviços GeraisPOUSO ALEGRE/MG</v>
          </cell>
          <cell r="E104">
            <v>925.87</v>
          </cell>
          <cell r="F104">
            <v>1036.98</v>
          </cell>
          <cell r="G104">
            <v>1161.44</v>
          </cell>
          <cell r="K104">
            <v>1161.44</v>
          </cell>
        </row>
        <row r="105">
          <cell r="D105" t="str">
            <v>Porteiro 220 horasPOUSO ALEGRE/MG</v>
          </cell>
          <cell r="F105">
            <v>1449.4</v>
          </cell>
          <cell r="G105">
            <v>1623.33</v>
          </cell>
          <cell r="K105">
            <v>1623.33</v>
          </cell>
        </row>
        <row r="106">
          <cell r="D106" t="str">
            <v>Auxiliar de Serviços GeraisRIBEIRÃO DAS NEVES / MG</v>
          </cell>
          <cell r="E106">
            <v>978.61</v>
          </cell>
          <cell r="F106">
            <v>1096</v>
          </cell>
          <cell r="G106">
            <v>1227.54</v>
          </cell>
          <cell r="K106">
            <v>1227.54</v>
          </cell>
        </row>
        <row r="107">
          <cell r="D107" t="str">
            <v>Porteiro 12x36 DiurnoRIBEIRÃO DAS NEVES / MG</v>
          </cell>
          <cell r="F107">
            <v>1515.45</v>
          </cell>
          <cell r="G107">
            <v>1697.31</v>
          </cell>
          <cell r="K107">
            <v>1697.31</v>
          </cell>
        </row>
        <row r="108">
          <cell r="D108" t="str">
            <v>RecepcionistaRIBEIRÃO DAS NEVES / MG</v>
          </cell>
          <cell r="E108">
            <v>2015.89</v>
          </cell>
          <cell r="F108">
            <v>2257.8000000000002</v>
          </cell>
          <cell r="G108">
            <v>2528.7399999999998</v>
          </cell>
          <cell r="K108">
            <v>2528.7399999999998</v>
          </cell>
        </row>
        <row r="109">
          <cell r="D109" t="str">
            <v>Sacramento</v>
          </cell>
          <cell r="E109">
            <v>0</v>
          </cell>
          <cell r="F109">
            <v>0</v>
          </cell>
          <cell r="G109">
            <v>0</v>
          </cell>
          <cell r="K109">
            <v>0</v>
          </cell>
        </row>
        <row r="110">
          <cell r="D110" t="str">
            <v>Santa Luzia</v>
          </cell>
          <cell r="E110">
            <v>0</v>
          </cell>
          <cell r="F110">
            <v>0</v>
          </cell>
          <cell r="G110">
            <v>0</v>
          </cell>
          <cell r="K110">
            <v>0</v>
          </cell>
        </row>
        <row r="111">
          <cell r="D111" t="str">
            <v>Auxiliar de Serviços GeraisSanta Rita do Sapucaí</v>
          </cell>
          <cell r="E111">
            <v>936.43</v>
          </cell>
          <cell r="F111">
            <v>1048.8</v>
          </cell>
          <cell r="G111">
            <v>1174.67</v>
          </cell>
          <cell r="K111">
            <v>1174.67</v>
          </cell>
        </row>
        <row r="112">
          <cell r="D112" t="str">
            <v>Santa Vitória</v>
          </cell>
          <cell r="E112">
            <v>0</v>
          </cell>
          <cell r="F112">
            <v>0</v>
          </cell>
          <cell r="G112">
            <v>0</v>
          </cell>
          <cell r="K112">
            <v>0</v>
          </cell>
        </row>
        <row r="113">
          <cell r="D113" t="str">
            <v>Porteiro 220 horasSANTO ANTONIO DO MONTE/MG</v>
          </cell>
          <cell r="E113">
            <v>0</v>
          </cell>
          <cell r="F113">
            <v>0</v>
          </cell>
          <cell r="G113">
            <v>1641.84</v>
          </cell>
          <cell r="K113">
            <v>1641.84</v>
          </cell>
        </row>
        <row r="114">
          <cell r="D114" t="str">
            <v>Auxiliar de Serviços GeraisSANTOS DUMONT - MG</v>
          </cell>
          <cell r="E114">
            <v>936.43</v>
          </cell>
          <cell r="F114">
            <v>1048.8</v>
          </cell>
          <cell r="G114">
            <v>1174.67</v>
          </cell>
          <cell r="K114">
            <v>1174.67</v>
          </cell>
        </row>
        <row r="115">
          <cell r="D115" t="str">
            <v>RecepcionistaSÃO ROMÃO/MG</v>
          </cell>
          <cell r="G115">
            <v>2528.7399999999998</v>
          </cell>
          <cell r="K115">
            <v>2528.7399999999998</v>
          </cell>
        </row>
        <row r="116">
          <cell r="D116" t="str">
            <v>São Francisco</v>
          </cell>
          <cell r="E116">
            <v>0</v>
          </cell>
          <cell r="F116">
            <v>0</v>
          </cell>
          <cell r="G116">
            <v>0</v>
          </cell>
          <cell r="K116">
            <v>0</v>
          </cell>
        </row>
        <row r="117">
          <cell r="D117" t="str">
            <v>Auxiliar de Serviços GeraisSão Gonçalo do Sapucaí</v>
          </cell>
          <cell r="E117">
            <v>925.87</v>
          </cell>
          <cell r="F117">
            <v>1036.98</v>
          </cell>
          <cell r="G117">
            <v>1161.43</v>
          </cell>
          <cell r="K117">
            <v>1161.43</v>
          </cell>
        </row>
        <row r="118">
          <cell r="D118" t="str">
            <v>Auxiliar de Serviços GeraisSÃO JOÃO DEL REI / MG</v>
          </cell>
          <cell r="E118">
            <v>925.87</v>
          </cell>
          <cell r="F118">
            <v>1036.98</v>
          </cell>
          <cell r="G118">
            <v>1161.43</v>
          </cell>
          <cell r="K118">
            <v>1161.43</v>
          </cell>
        </row>
        <row r="119">
          <cell r="D119" t="str">
            <v>Porteiro 12x36 DiurnoSÃO JOÃO DEL REI / MG</v>
          </cell>
          <cell r="E119">
            <v>1216.46</v>
          </cell>
          <cell r="F119">
            <v>1362.44</v>
          </cell>
          <cell r="G119">
            <v>1525.94</v>
          </cell>
          <cell r="K119">
            <v>1525.94</v>
          </cell>
        </row>
        <row r="120">
          <cell r="D120" t="str">
            <v>Porteiro 12x36 NoturnoSÃO JOÃO DEL REI / MG</v>
          </cell>
          <cell r="E120">
            <v>1397.6</v>
          </cell>
          <cell r="F120">
            <v>1565.31</v>
          </cell>
          <cell r="G120">
            <v>1753.15</v>
          </cell>
          <cell r="K120">
            <v>1753.15</v>
          </cell>
        </row>
        <row r="121">
          <cell r="D121" t="str">
            <v>São Lourenço</v>
          </cell>
          <cell r="E121">
            <v>0</v>
          </cell>
          <cell r="F121">
            <v>0</v>
          </cell>
          <cell r="G121">
            <v>0</v>
          </cell>
          <cell r="K121">
            <v>0</v>
          </cell>
        </row>
        <row r="122">
          <cell r="D122" t="str">
            <v>São Sebastião do Paraíso</v>
          </cell>
          <cell r="E122">
            <v>0</v>
          </cell>
          <cell r="F122">
            <v>0</v>
          </cell>
          <cell r="G122">
            <v>0</v>
          </cell>
          <cell r="K122">
            <v>0</v>
          </cell>
        </row>
        <row r="123">
          <cell r="D123" t="str">
            <v>Porteiro 12x36 DiurnoSETE LAGOAS / MG</v>
          </cell>
          <cell r="E123">
            <v>0</v>
          </cell>
          <cell r="F123">
            <v>1498.2</v>
          </cell>
          <cell r="G123">
            <v>1677.97</v>
          </cell>
          <cell r="K123">
            <v>1677.97</v>
          </cell>
        </row>
        <row r="124">
          <cell r="D124" t="str">
            <v>Porteiro 12x36 NoturnoSETE LAGOAS / MG</v>
          </cell>
          <cell r="E124">
            <v>0</v>
          </cell>
          <cell r="F124">
            <v>1721.28</v>
          </cell>
          <cell r="G124">
            <v>1927.81</v>
          </cell>
          <cell r="K124">
            <v>1927.81</v>
          </cell>
        </row>
        <row r="125">
          <cell r="D125" t="str">
            <v>Porteiro 12x36 DiurnoTEÓFILO OTONI / MG</v>
          </cell>
          <cell r="E125">
            <v>1216.46</v>
          </cell>
          <cell r="F125">
            <v>1362.44</v>
          </cell>
          <cell r="G125">
            <v>1525.94</v>
          </cell>
          <cell r="K125">
            <v>1525.94</v>
          </cell>
        </row>
        <row r="126">
          <cell r="D126" t="str">
            <v>Porteiro 12x36 NoturnoTEÓFILO OTONI / MG</v>
          </cell>
          <cell r="E126">
            <v>1397.6</v>
          </cell>
          <cell r="F126">
            <v>1565.31</v>
          </cell>
          <cell r="G126">
            <v>1753.15</v>
          </cell>
          <cell r="K126">
            <v>1753.15</v>
          </cell>
        </row>
        <row r="127">
          <cell r="D127" t="str">
            <v>Porteiro 12x36 DiurnoTRÊS PONTAS / MG</v>
          </cell>
          <cell r="E127">
            <v>1223.3599999999999</v>
          </cell>
          <cell r="F127">
            <v>1370.16</v>
          </cell>
          <cell r="G127">
            <v>1534.58</v>
          </cell>
          <cell r="K127">
            <v>1534.58</v>
          </cell>
        </row>
        <row r="128">
          <cell r="D128" t="str">
            <v>Porteiro 12x36 NoturnoTRÊS PONTAS / MG</v>
          </cell>
          <cell r="E128">
            <v>1405.52</v>
          </cell>
          <cell r="F128">
            <v>1574.18</v>
          </cell>
          <cell r="G128">
            <v>1763.08</v>
          </cell>
          <cell r="K128">
            <v>1763.08</v>
          </cell>
        </row>
        <row r="129">
          <cell r="D129" t="str">
            <v>Auxiliar de Serviços GeraisTUPACIGUARA / MG</v>
          </cell>
          <cell r="E129">
            <v>925.87</v>
          </cell>
          <cell r="F129">
            <v>1036.98</v>
          </cell>
          <cell r="G129">
            <v>1161.42</v>
          </cell>
          <cell r="K129">
            <v>1161.42</v>
          </cell>
        </row>
        <row r="130">
          <cell r="D130" t="str">
            <v>RecepcionistaTURMALINA/MG</v>
          </cell>
          <cell r="G130">
            <v>2499.92</v>
          </cell>
          <cell r="K130">
            <v>2499.92</v>
          </cell>
        </row>
        <row r="131">
          <cell r="D131" t="str">
            <v>Auxiliar de Serviços GeraisUBÁ / MG</v>
          </cell>
          <cell r="E131">
            <v>936.43</v>
          </cell>
          <cell r="F131">
            <v>1048.8</v>
          </cell>
          <cell r="G131">
            <v>1174.67</v>
          </cell>
          <cell r="K131">
            <v>1174.67</v>
          </cell>
        </row>
        <row r="132">
          <cell r="D132" t="str">
            <v>Porteiro 220 horasUBÁ / MG</v>
          </cell>
          <cell r="E132">
            <v>1308.8599999999999</v>
          </cell>
          <cell r="F132">
            <v>1465.92</v>
          </cell>
          <cell r="G132">
            <v>1641.84</v>
          </cell>
          <cell r="K132">
            <v>1641.84</v>
          </cell>
        </row>
        <row r="133">
          <cell r="D133" t="str">
            <v>Auxiliar de Serviços GeraisUBERABA / MG</v>
          </cell>
          <cell r="E133">
            <v>967.46</v>
          </cell>
          <cell r="F133">
            <v>1083.53</v>
          </cell>
          <cell r="G133">
            <v>1213.55</v>
          </cell>
          <cell r="K133">
            <v>1213.55</v>
          </cell>
        </row>
        <row r="134">
          <cell r="D134" t="str">
            <v>Digitador 150 horasUBERABA / MG</v>
          </cell>
          <cell r="E134">
            <v>1077.4000000000001</v>
          </cell>
          <cell r="F134">
            <v>1208.47</v>
          </cell>
          <cell r="G134">
            <v>1353.48</v>
          </cell>
          <cell r="K134">
            <v>1353.48</v>
          </cell>
        </row>
        <row r="135">
          <cell r="D135" t="str">
            <v>Porteiro 220 horasUBERABA / MG</v>
          </cell>
          <cell r="E135">
            <v>1423.05</v>
          </cell>
          <cell r="F135">
            <v>1593.82</v>
          </cell>
          <cell r="G135">
            <v>1785.07</v>
          </cell>
          <cell r="K135">
            <v>1785.07</v>
          </cell>
        </row>
        <row r="136">
          <cell r="D136" t="str">
            <v>RecepcionistaUBERABA / MG</v>
          </cell>
          <cell r="E136">
            <v>1992.92</v>
          </cell>
          <cell r="F136">
            <v>2232.0700000000002</v>
          </cell>
          <cell r="G136">
            <v>2499.92</v>
          </cell>
          <cell r="K136">
            <v>2499.92</v>
          </cell>
        </row>
        <row r="137">
          <cell r="D137" t="str">
            <v>Auxiliar de Serviços GeraisUBERLÂNDIA / MG</v>
          </cell>
          <cell r="E137">
            <v>956.55</v>
          </cell>
          <cell r="F137">
            <v>1071.32</v>
          </cell>
          <cell r="G137">
            <v>1199.8800000000001</v>
          </cell>
          <cell r="K137">
            <v>1199.8800000000001</v>
          </cell>
        </row>
        <row r="138">
          <cell r="D138" t="str">
            <v>Digitador 150 horasUBERLÂNDIA / MG</v>
          </cell>
          <cell r="E138">
            <v>1065.26</v>
          </cell>
          <cell r="F138">
            <v>1194.8499999999999</v>
          </cell>
          <cell r="G138">
            <v>1338.23</v>
          </cell>
          <cell r="K138">
            <v>1338.23</v>
          </cell>
        </row>
        <row r="139">
          <cell r="D139" t="str">
            <v>Porteiro 220 horasUBERLÂNDIA / MG</v>
          </cell>
          <cell r="E139">
            <v>1407.02</v>
          </cell>
          <cell r="F139">
            <v>1575.88</v>
          </cell>
          <cell r="G139">
            <v>1764.98</v>
          </cell>
          <cell r="K139">
            <v>1764.98</v>
          </cell>
        </row>
        <row r="140">
          <cell r="D140" t="str">
            <v>RecepcionistaUBERLÂNDIA / MG</v>
          </cell>
          <cell r="E140">
            <v>1970.46</v>
          </cell>
          <cell r="F140">
            <v>2206.92</v>
          </cell>
          <cell r="G140">
            <v>2383.4699999999998</v>
          </cell>
          <cell r="K140">
            <v>2383.4699999999998</v>
          </cell>
        </row>
        <row r="141">
          <cell r="D141" t="str">
            <v>Telefonista 150 horasUBERLÂNDIA / MG</v>
          </cell>
          <cell r="E141">
            <v>1544.65</v>
          </cell>
          <cell r="F141">
            <v>1656.17</v>
          </cell>
          <cell r="G141">
            <v>1854.9</v>
          </cell>
          <cell r="K141">
            <v>1854.9</v>
          </cell>
        </row>
        <row r="142">
          <cell r="D142" t="str">
            <v>Porteiro 220 horasVARGINHA / MG</v>
          </cell>
          <cell r="E142">
            <v>1308.8599999999999</v>
          </cell>
          <cell r="F142">
            <v>1465.92</v>
          </cell>
          <cell r="G142">
            <v>1641.83</v>
          </cell>
          <cell r="K142">
            <v>1641.83</v>
          </cell>
        </row>
        <row r="143">
          <cell r="D143" t="str">
            <v>Porteiro 12x36 DiurnoVESPASIANO / MG</v>
          </cell>
          <cell r="E143">
            <v>1322.59</v>
          </cell>
          <cell r="F143">
            <v>1481.33</v>
          </cell>
          <cell r="G143">
            <v>1659.06</v>
          </cell>
          <cell r="K143">
            <v>1659.06</v>
          </cell>
        </row>
        <row r="144">
          <cell r="D144" t="str">
            <v>Porteiro 12x36 NoturnoVESPASIANO / MG</v>
          </cell>
          <cell r="E144">
            <v>1519.53</v>
          </cell>
          <cell r="F144">
            <v>1701.9</v>
          </cell>
          <cell r="G144">
            <v>1906.1</v>
          </cell>
          <cell r="K144">
            <v>1906.1</v>
          </cell>
        </row>
        <row r="145">
          <cell r="D145" t="str">
            <v>RecepcionistaVESPASIANO / MG</v>
          </cell>
          <cell r="E145">
            <v>1970.46</v>
          </cell>
          <cell r="F145">
            <v>2206.92</v>
          </cell>
          <cell r="G145">
            <v>2471.75</v>
          </cell>
          <cell r="K145">
            <v>2471.75</v>
          </cell>
        </row>
        <row r="146">
          <cell r="D146" t="str">
            <v>Auxiliar de Serviços GeraisViçosa</v>
          </cell>
          <cell r="E146">
            <v>936.43</v>
          </cell>
          <cell r="F146">
            <v>1048.8</v>
          </cell>
          <cell r="G146">
            <v>1174.67</v>
          </cell>
          <cell r="K146">
            <v>1174.67</v>
          </cell>
        </row>
        <row r="147">
          <cell r="D147" t="str">
            <v>AlmoxarifeBELO HORIZONTE / MG</v>
          </cell>
          <cell r="E147">
            <v>1331.82</v>
          </cell>
          <cell r="F147">
            <v>1491.63</v>
          </cell>
          <cell r="G147">
            <v>1670.65</v>
          </cell>
          <cell r="K147">
            <v>1670.65</v>
          </cell>
        </row>
        <row r="148">
          <cell r="D148" t="str">
            <v>AscensoristaBELO HORIZONTE / MG</v>
          </cell>
          <cell r="E148">
            <v>1004.99</v>
          </cell>
          <cell r="F148">
            <v>1125.5899999999999</v>
          </cell>
          <cell r="G148">
            <v>1260.6600000000001</v>
          </cell>
          <cell r="K148">
            <v>1260.6600000000001</v>
          </cell>
        </row>
        <row r="149">
          <cell r="D149" t="str">
            <v>Auxiliar AdministrativoBELO HORIZONTE / MG</v>
          </cell>
          <cell r="E149">
            <v>1417.36</v>
          </cell>
          <cell r="F149">
            <v>1587.44</v>
          </cell>
          <cell r="G149">
            <v>1777.93</v>
          </cell>
          <cell r="K149">
            <v>1777.93</v>
          </cell>
        </row>
        <row r="150">
          <cell r="D150" t="str">
            <v>Auxiliar de Serviços GeraisBELO HORIZONTE / MG</v>
          </cell>
          <cell r="E150">
            <v>956.55</v>
          </cell>
          <cell r="F150">
            <v>1071.31</v>
          </cell>
          <cell r="G150">
            <v>1199.8699999999999</v>
          </cell>
          <cell r="K150">
            <v>1199.8699999999999</v>
          </cell>
        </row>
        <row r="151">
          <cell r="D151" t="str">
            <v>CarregadorBELO HORIZONTE / MG</v>
          </cell>
          <cell r="E151">
            <v>956.55</v>
          </cell>
          <cell r="F151">
            <v>1071.31</v>
          </cell>
          <cell r="G151">
            <v>1199.8699999999999</v>
          </cell>
          <cell r="K151">
            <v>1199.8699999999999</v>
          </cell>
        </row>
        <row r="152">
          <cell r="D152" t="str">
            <v>CopeiroBELO HORIZONTE / MG</v>
          </cell>
          <cell r="E152">
            <v>956.55</v>
          </cell>
          <cell r="F152">
            <v>1071.31</v>
          </cell>
          <cell r="G152">
            <v>1199.8699999999999</v>
          </cell>
          <cell r="K152">
            <v>1199.8699999999999</v>
          </cell>
        </row>
        <row r="153">
          <cell r="D153" t="str">
            <v>Digitador 150 horasBELO HORIZONTE / MG</v>
          </cell>
          <cell r="E153">
            <v>1065.26</v>
          </cell>
          <cell r="F153">
            <v>1194.8499999999999</v>
          </cell>
          <cell r="G153">
            <v>1338.23</v>
          </cell>
          <cell r="K153">
            <v>1338.23</v>
          </cell>
        </row>
        <row r="154">
          <cell r="D154" t="str">
            <v>GarçomBELO HORIZONTE / MG</v>
          </cell>
          <cell r="E154">
            <v>2136.7199999999998</v>
          </cell>
          <cell r="F154">
            <v>2393.12</v>
          </cell>
          <cell r="G154">
            <v>2680.3</v>
          </cell>
          <cell r="K154">
            <v>2680.3</v>
          </cell>
        </row>
        <row r="155">
          <cell r="D155" t="str">
            <v>ManobristaBELO HORIZONTE / MG</v>
          </cell>
          <cell r="E155">
            <v>1428.77</v>
          </cell>
          <cell r="F155">
            <v>1600.22</v>
          </cell>
          <cell r="G155">
            <v>1792.26</v>
          </cell>
          <cell r="K155">
            <v>1792.26</v>
          </cell>
        </row>
        <row r="156">
          <cell r="D156" t="str">
            <v>Operador de Máquina Reprográfica BELO HORIZONTE / MG</v>
          </cell>
          <cell r="E156">
            <v>1202.78</v>
          </cell>
          <cell r="F156">
            <v>1347.11</v>
          </cell>
          <cell r="G156">
            <v>1508.75</v>
          </cell>
          <cell r="K156">
            <v>1508.75</v>
          </cell>
        </row>
        <row r="157">
          <cell r="D157" t="str">
            <v>Porteiro 220 horasBELO HORIZONTE / MG</v>
          </cell>
          <cell r="E157">
            <v>1407.02</v>
          </cell>
          <cell r="F157">
            <v>1575.86</v>
          </cell>
          <cell r="G157">
            <v>1764.96</v>
          </cell>
          <cell r="K157">
            <v>1764.96</v>
          </cell>
        </row>
        <row r="158">
          <cell r="D158" t="str">
            <v>Porteiro 12x36 DiurnoBELO HORIZONTE / MG</v>
          </cell>
          <cell r="E158">
            <v>1322.59</v>
          </cell>
          <cell r="F158">
            <v>1481.31</v>
          </cell>
          <cell r="G158">
            <v>1659.06</v>
          </cell>
          <cell r="K158">
            <v>1659.06</v>
          </cell>
        </row>
        <row r="159">
          <cell r="D159" t="str">
            <v>Porteiro 12x36 NoturnoBELO HORIZONTE / MG</v>
          </cell>
          <cell r="E159">
            <v>1519.53</v>
          </cell>
          <cell r="F159">
            <v>1701.88</v>
          </cell>
          <cell r="G159">
            <v>1906.1</v>
          </cell>
          <cell r="K159">
            <v>1906.1</v>
          </cell>
        </row>
        <row r="160">
          <cell r="D160" t="str">
            <v>Recepcionista 220BELO HORIZONTE / MG</v>
          </cell>
          <cell r="E160">
            <v>1970.46</v>
          </cell>
          <cell r="F160">
            <v>2206.92</v>
          </cell>
          <cell r="G160">
            <v>2471.75</v>
          </cell>
          <cell r="K160">
            <v>2471.75</v>
          </cell>
        </row>
        <row r="161">
          <cell r="D161" t="str">
            <v>Recepcionista 150BELO HORIZONTE / MG</v>
          </cell>
          <cell r="E161">
            <v>1343.5</v>
          </cell>
          <cell r="F161">
            <v>1504.72</v>
          </cell>
          <cell r="G161">
            <v>1685.29</v>
          </cell>
          <cell r="K161">
            <v>1685.29</v>
          </cell>
        </row>
        <row r="162">
          <cell r="D162" t="str">
            <v>Recepcionista 180BELO HORIZONTE / MG</v>
          </cell>
          <cell r="E162">
            <v>1612.2</v>
          </cell>
          <cell r="F162">
            <v>1805.66</v>
          </cell>
          <cell r="G162">
            <v>2022.34</v>
          </cell>
          <cell r="K162">
            <v>2022.34</v>
          </cell>
        </row>
        <row r="163">
          <cell r="D163" t="str">
            <v>Supervisor de Manutenção de VeículosBELO HORIZONTE / MG</v>
          </cell>
          <cell r="E163">
            <v>2581.87</v>
          </cell>
          <cell r="F163">
            <v>2891.69</v>
          </cell>
          <cell r="G163">
            <v>3238.69</v>
          </cell>
          <cell r="K163">
            <v>3238.69</v>
          </cell>
        </row>
        <row r="164">
          <cell r="D164" t="str">
            <v>Técnico de Manutenção EletrônicaBELO HORIZONTE / MG</v>
          </cell>
          <cell r="E164">
            <v>2379.54</v>
          </cell>
          <cell r="F164">
            <v>2665.08</v>
          </cell>
          <cell r="G164">
            <v>2984.89</v>
          </cell>
          <cell r="K164">
            <v>2984.89</v>
          </cell>
        </row>
        <row r="165">
          <cell r="D165" t="str">
            <v>Telefonista 150 horasBELO HORIZONTE / MG</v>
          </cell>
          <cell r="E165">
            <v>1544.65</v>
          </cell>
          <cell r="F165">
            <v>1656.17</v>
          </cell>
          <cell r="G165">
            <v>1854.9</v>
          </cell>
          <cell r="K165">
            <v>1854.9</v>
          </cell>
        </row>
      </sheetData>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Servicos"/>
      <sheetName val="Plan3"/>
      <sheetName val="Plan1"/>
    </sheetNames>
    <sheetDataSet>
      <sheetData sheetId="0"/>
      <sheetData sheetId="1">
        <row r="2">
          <cell r="A2" t="str">
            <v xml:space="preserve">Limpeza </v>
          </cell>
        </row>
        <row r="3">
          <cell r="A3" t="str">
            <v>Vigilância</v>
          </cell>
        </row>
        <row r="4">
          <cell r="A4" t="str">
            <v>Portaria</v>
          </cell>
        </row>
        <row r="5">
          <cell r="A5" t="str">
            <v>Jardinagem</v>
          </cell>
        </row>
        <row r="6">
          <cell r="A6" t="str">
            <v>Manutenção Predial</v>
          </cell>
        </row>
        <row r="7">
          <cell r="A7" t="str">
            <v>Limpeza e Portaria</v>
          </cell>
        </row>
      </sheetData>
      <sheetData sheetId="2"/>
      <sheetData sheetId="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dital"/>
      <sheetName val="Res. Edital"/>
      <sheetName val="Parâmetro"/>
      <sheetName val="CCT"/>
      <sheetName val="Total"/>
      <sheetName val="Res."/>
      <sheetName val="Res. Cat"/>
      <sheetName val="3.4"/>
      <sheetName val="4.11"/>
      <sheetName val="5.11"/>
      <sheetName val="6"/>
      <sheetName val="6.4"/>
      <sheetName val="6.11"/>
      <sheetName val="7"/>
      <sheetName val="7.4"/>
      <sheetName val="7.12"/>
      <sheetName val="7.15"/>
      <sheetName val="8.15"/>
      <sheetName val="9"/>
      <sheetName val="9.13"/>
      <sheetName val="9.14"/>
      <sheetName val="10"/>
      <sheetName val="10.4"/>
      <sheetName val="10.15"/>
      <sheetName val="11.4"/>
      <sheetName val="12.4"/>
      <sheetName val="13.4"/>
      <sheetName val="15"/>
      <sheetName val="15.4"/>
      <sheetName val="15.14"/>
      <sheetName val="16"/>
      <sheetName val="16.4"/>
      <sheetName val="16.13"/>
      <sheetName val="16.14"/>
      <sheetName val="16.15"/>
      <sheetName val="17"/>
      <sheetName val="17.4"/>
      <sheetName val="17.6"/>
      <sheetName val="17.7"/>
      <sheetName val="17.15"/>
      <sheetName val="18.11"/>
      <sheetName val="21"/>
      <sheetName val="21.4"/>
      <sheetName val="21.13"/>
      <sheetName val="21.14"/>
      <sheetName val="22"/>
      <sheetName val="22.4"/>
      <sheetName val="22.15"/>
      <sheetName val="23.4"/>
      <sheetName val="25"/>
      <sheetName val="25.4"/>
      <sheetName val="25.13"/>
      <sheetName val="25.14"/>
      <sheetName val="27.11"/>
      <sheetName val="28"/>
      <sheetName val="28.13"/>
      <sheetName val="28.14"/>
      <sheetName val="29.15"/>
      <sheetName val="31"/>
      <sheetName val="31.4"/>
      <sheetName val="31.11"/>
      <sheetName val="32.4"/>
      <sheetName val="33"/>
      <sheetName val="33.11"/>
      <sheetName val="33.12"/>
      <sheetName val="33.13"/>
      <sheetName val="34"/>
      <sheetName val="34.4"/>
      <sheetName val="34.11"/>
      <sheetName val="35.4 "/>
      <sheetName val="36.11"/>
      <sheetName val="38"/>
      <sheetName val="38.4"/>
      <sheetName val="39"/>
      <sheetName val="39.4"/>
      <sheetName val="39.11"/>
      <sheetName val="39.15"/>
      <sheetName val="41.7"/>
      <sheetName val="42"/>
      <sheetName val="42.13"/>
      <sheetName val="42.14"/>
      <sheetName val="44"/>
      <sheetName val="44.13"/>
      <sheetName val="44.14"/>
      <sheetName val="45.4"/>
      <sheetName val="46.4"/>
      <sheetName val="47"/>
      <sheetName val="47.4"/>
      <sheetName val="47.13"/>
      <sheetName val="47.14"/>
      <sheetName val="47.15"/>
      <sheetName val="48.11"/>
      <sheetName val="49.4"/>
      <sheetName val="51.11"/>
      <sheetName val="54"/>
      <sheetName val="54.4"/>
      <sheetName val="54.11"/>
      <sheetName val="54.15"/>
      <sheetName val="55.4"/>
      <sheetName val="56"/>
      <sheetName val="56.4"/>
      <sheetName val="56.15"/>
      <sheetName val="57.4"/>
      <sheetName val="58.7"/>
      <sheetName val="61.4"/>
      <sheetName val="62"/>
      <sheetName val="62.11"/>
      <sheetName val="62.14"/>
      <sheetName val="64"/>
      <sheetName val="64.4"/>
      <sheetName val="64.11"/>
      <sheetName val="65"/>
      <sheetName val="65.4"/>
      <sheetName val="65.11"/>
      <sheetName val="65.13"/>
      <sheetName val="65.14"/>
      <sheetName val="65.15"/>
      <sheetName val="68.4"/>
      <sheetName val="70.11"/>
      <sheetName val="71.4"/>
      <sheetName val="73.4"/>
      <sheetName val="74"/>
      <sheetName val="74.4"/>
      <sheetName val="74.13"/>
      <sheetName val="74.14"/>
      <sheetName val="77"/>
      <sheetName val="77.13"/>
      <sheetName val="77.14"/>
      <sheetName val="78"/>
      <sheetName val="78.13"/>
      <sheetName val="78.14"/>
      <sheetName val="79"/>
      <sheetName val="79.13"/>
      <sheetName val="79.14"/>
      <sheetName val="80"/>
      <sheetName val="80.4"/>
      <sheetName val="80.13"/>
      <sheetName val="80.14"/>
      <sheetName val="81"/>
      <sheetName val="81.4"/>
      <sheetName val="81.11"/>
      <sheetName val="82"/>
      <sheetName val="82.4"/>
      <sheetName val="82.7"/>
      <sheetName val="82.15"/>
      <sheetName val="83"/>
      <sheetName val="83.7"/>
      <sheetName val="83.11"/>
      <sheetName val="83.15"/>
      <sheetName val="83.18"/>
      <sheetName val="84.11"/>
      <sheetName val="85"/>
      <sheetName val="85.13"/>
      <sheetName val="85.14"/>
      <sheetName val="85.15"/>
      <sheetName val="86.4"/>
      <sheetName val="87"/>
      <sheetName val="87.1"/>
      <sheetName val="87.2"/>
      <sheetName val="87.3"/>
      <sheetName val="87.4"/>
      <sheetName val="87.5"/>
      <sheetName val="87.6"/>
      <sheetName val="87.7"/>
      <sheetName val="87.8"/>
      <sheetName val="87.9"/>
      <sheetName val="87.10"/>
      <sheetName val="87.11"/>
      <sheetName val="87.13"/>
      <sheetName val="87.14"/>
      <sheetName val="87.15"/>
      <sheetName val="87.16"/>
      <sheetName val="87.17"/>
      <sheetName val="87.18"/>
      <sheetName val="87.19"/>
      <sheetName val="87.20"/>
      <sheetName val="88"/>
      <sheetName val="88.13"/>
      <sheetName val="88.14"/>
      <sheetName val="89"/>
      <sheetName val="89.13"/>
      <sheetName val="89.14"/>
      <sheetName val="90.7"/>
      <sheetName val="91.15"/>
      <sheetName val="92.15"/>
      <sheetName val="93.4"/>
      <sheetName val="94.11"/>
      <sheetName val="95.11 "/>
      <sheetName val="96.15 "/>
      <sheetName val="97.15"/>
      <sheetName val="Unif"/>
    </sheetNames>
    <sheetDataSet>
      <sheetData sheetId="0" refreshError="1"/>
      <sheetData sheetId="1" refreshError="1"/>
      <sheetData sheetId="2" refreshError="1"/>
      <sheetData sheetId="3" refreshError="1"/>
      <sheetData sheetId="4" refreshError="1"/>
      <sheetData sheetId="5" refreshError="1"/>
      <sheetData sheetId="6" refreshError="1">
        <row r="6">
          <cell r="F6">
            <v>1161.4299702797748</v>
          </cell>
        </row>
        <row r="7">
          <cell r="F7">
            <v>1641.8374383853925</v>
          </cell>
        </row>
        <row r="8">
          <cell r="F8">
            <v>1641.8374383853925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OIO"/>
      <sheetName val="CUSTO LOTE 1"/>
      <sheetName val="LIMPEZA"/>
      <sheetName val="FÉRIAS"/>
      <sheetName val="CUSTO LOTE 2"/>
      <sheetName val="MIX"/>
    </sheetNames>
    <sheetDataSet>
      <sheetData sheetId="0"/>
      <sheetData sheetId="1">
        <row r="3">
          <cell r="E3" t="str">
            <v>FUNÇÕES/LOCALIDADE</v>
          </cell>
          <cell r="F3" t="str">
            <v>Valor Unitário</v>
          </cell>
          <cell r="G3" t="str">
            <v>Valor Unitário</v>
          </cell>
          <cell r="H3" t="str">
            <v>Valor Unitário</v>
          </cell>
          <cell r="I3" t="str">
            <v>Valor Unitário</v>
          </cell>
          <cell r="J3" t="str">
            <v>Valor Unitário</v>
          </cell>
          <cell r="K3" t="str">
            <v>Valor Unitário</v>
          </cell>
          <cell r="L3">
            <v>40686.714931249997</v>
          </cell>
        </row>
        <row r="4">
          <cell r="E4" t="str">
            <v>Águas Formosas</v>
          </cell>
          <cell r="F4">
            <v>0</v>
          </cell>
          <cell r="L4">
            <v>0</v>
          </cell>
        </row>
        <row r="5">
          <cell r="E5" t="str">
            <v>Aiuruoca</v>
          </cell>
          <cell r="F5">
            <v>0</v>
          </cell>
          <cell r="L5">
            <v>0</v>
          </cell>
        </row>
        <row r="6">
          <cell r="E6" t="str">
            <v>Auxiliar de Serviços GeraisAlfenas</v>
          </cell>
          <cell r="F6">
            <v>925.87</v>
          </cell>
          <cell r="G6">
            <v>1036.98</v>
          </cell>
          <cell r="L6">
            <v>1036.98</v>
          </cell>
        </row>
        <row r="7">
          <cell r="E7" t="str">
            <v>Almenara</v>
          </cell>
          <cell r="F7">
            <v>0</v>
          </cell>
          <cell r="L7">
            <v>0</v>
          </cell>
        </row>
        <row r="8">
          <cell r="E8" t="str">
            <v>Porteiro 220 horasARAÇUAI / MG</v>
          </cell>
          <cell r="F8">
            <v>1308.8599999999999</v>
          </cell>
          <cell r="G8">
            <v>1465.92</v>
          </cell>
          <cell r="L8">
            <v>1465.92</v>
          </cell>
        </row>
        <row r="9">
          <cell r="E9" t="str">
            <v>Auxiliar de Serviços GeraisARAGUARI / MG</v>
          </cell>
          <cell r="F9">
            <v>936.43</v>
          </cell>
          <cell r="G9">
            <v>1048.8</v>
          </cell>
          <cell r="L9">
            <v>1048.8</v>
          </cell>
        </row>
        <row r="10">
          <cell r="E10" t="str">
            <v>Porteiro 220 horasARAGUARI / MG</v>
          </cell>
          <cell r="F10">
            <v>1308.8599999999999</v>
          </cell>
          <cell r="G10">
            <v>1465.92</v>
          </cell>
          <cell r="L10">
            <v>1465.92</v>
          </cell>
        </row>
        <row r="11">
          <cell r="E11" t="str">
            <v>Auxiliar de Serviços GeraisARAXÁ / MG</v>
          </cell>
          <cell r="F11">
            <v>956.55</v>
          </cell>
          <cell r="G11">
            <v>1071.32</v>
          </cell>
          <cell r="L11">
            <v>1071.32</v>
          </cell>
        </row>
        <row r="12">
          <cell r="E12" t="str">
            <v>Porteiro 150 horasARAXÁ / MG</v>
          </cell>
          <cell r="F12">
            <v>1013.05</v>
          </cell>
          <cell r="G12">
            <v>1134.6400000000001</v>
          </cell>
          <cell r="L12">
            <v>1134.6400000000001</v>
          </cell>
        </row>
        <row r="13">
          <cell r="E13" t="str">
            <v>RecepcionistaARAXÁ / MG</v>
          </cell>
          <cell r="F13">
            <v>1970.46</v>
          </cell>
          <cell r="G13">
            <v>2206.92</v>
          </cell>
          <cell r="L13">
            <v>2206.92</v>
          </cell>
        </row>
        <row r="14">
          <cell r="E14" t="str">
            <v>RecepcionistaARCOS / MG</v>
          </cell>
          <cell r="F14">
            <v>1970.46</v>
          </cell>
          <cell r="G14">
            <v>2206.92</v>
          </cell>
          <cell r="L14">
            <v>2206.92</v>
          </cell>
        </row>
        <row r="15">
          <cell r="E15" t="str">
            <v>Barbacena</v>
          </cell>
          <cell r="F15">
            <v>0</v>
          </cell>
          <cell r="L15">
            <v>0</v>
          </cell>
        </row>
        <row r="16">
          <cell r="E16" t="str">
            <v>Auxiliar de Serviços GeraisBETIM / MG</v>
          </cell>
          <cell r="F16">
            <v>961.97</v>
          </cell>
          <cell r="G16">
            <v>1077.3800000000001</v>
          </cell>
          <cell r="L16">
            <v>1077.3800000000001</v>
          </cell>
        </row>
        <row r="17">
          <cell r="E17" t="str">
            <v>RecepcionistaBETIM / MG</v>
          </cell>
          <cell r="F17">
            <v>1981.63</v>
          </cell>
          <cell r="G17">
            <v>2219.42</v>
          </cell>
          <cell r="L17">
            <v>2219.42</v>
          </cell>
        </row>
        <row r="18">
          <cell r="E18" t="str">
            <v>Auxiliar de Serviços GeraisCampo Belo</v>
          </cell>
          <cell r="F18">
            <v>936.43</v>
          </cell>
          <cell r="G18">
            <v>1048.8</v>
          </cell>
          <cell r="L18">
            <v>1048.8</v>
          </cell>
        </row>
        <row r="19">
          <cell r="E19" t="str">
            <v>Carangola</v>
          </cell>
          <cell r="F19">
            <v>0</v>
          </cell>
          <cell r="L19">
            <v>0</v>
          </cell>
        </row>
        <row r="20">
          <cell r="E20" t="str">
            <v>Auxiliar de Serviços GeraisCaratinga</v>
          </cell>
          <cell r="F20">
            <v>936.43</v>
          </cell>
          <cell r="G20">
            <v>1048.8</v>
          </cell>
          <cell r="L20">
            <v>1048.8</v>
          </cell>
        </row>
        <row r="21">
          <cell r="E21" t="str">
            <v>Carmo do Paranaíba</v>
          </cell>
          <cell r="F21">
            <v>0</v>
          </cell>
          <cell r="L21">
            <v>0</v>
          </cell>
        </row>
        <row r="22">
          <cell r="E22" t="str">
            <v>Auxiliar de Serviços GeraisCongonhas</v>
          </cell>
          <cell r="F22">
            <v>925.87</v>
          </cell>
          <cell r="G22">
            <v>1036.98</v>
          </cell>
          <cell r="L22">
            <v>1036.98</v>
          </cell>
        </row>
        <row r="23">
          <cell r="E23" t="str">
            <v>Auxiliar de Serviços GeraisCONSELHEIRO LAFAIETE / MG</v>
          </cell>
          <cell r="F23">
            <v>947.22</v>
          </cell>
          <cell r="G23">
            <v>1060.8900000000001</v>
          </cell>
          <cell r="L23">
            <v>1060.8900000000001</v>
          </cell>
        </row>
        <row r="24">
          <cell r="E24" t="str">
            <v>RecepcionistaCONSELHEIRO LAFAIETE / MG</v>
          </cell>
          <cell r="F24">
            <v>2015.89</v>
          </cell>
          <cell r="G24">
            <v>2257.8000000000002</v>
          </cell>
          <cell r="L24">
            <v>2257.8000000000002</v>
          </cell>
        </row>
        <row r="25">
          <cell r="E25" t="str">
            <v>Auxiliar de Serviços GeraisCONTAGEM / MG</v>
          </cell>
          <cell r="F25">
            <v>956.55</v>
          </cell>
          <cell r="G25">
            <v>1071.31</v>
          </cell>
          <cell r="L25">
            <v>1071.31</v>
          </cell>
        </row>
        <row r="26">
          <cell r="E26" t="str">
            <v>CopeiroCONTAGEM / MG</v>
          </cell>
          <cell r="F26">
            <v>956.55</v>
          </cell>
          <cell r="G26">
            <v>1071.31</v>
          </cell>
          <cell r="L26">
            <v>1071.31</v>
          </cell>
        </row>
        <row r="27">
          <cell r="E27" t="str">
            <v>Digitador 150 horasCONTAGEM / MG</v>
          </cell>
          <cell r="F27">
            <v>1065.26</v>
          </cell>
          <cell r="G27">
            <v>1065.26</v>
          </cell>
          <cell r="L27">
            <v>1065.26</v>
          </cell>
        </row>
        <row r="28">
          <cell r="E28" t="str">
            <v>RecepcionistaCONTAGEM / MG</v>
          </cell>
          <cell r="F28">
            <v>1970.46</v>
          </cell>
          <cell r="G28">
            <v>2206.92</v>
          </cell>
          <cell r="L28">
            <v>2206.92</v>
          </cell>
        </row>
        <row r="29">
          <cell r="E29" t="str">
            <v>Conquista</v>
          </cell>
          <cell r="F29">
            <v>0</v>
          </cell>
          <cell r="L29">
            <v>0</v>
          </cell>
        </row>
        <row r="30">
          <cell r="E30" t="str">
            <v>Corinto</v>
          </cell>
          <cell r="F30">
            <v>0</v>
          </cell>
          <cell r="L30">
            <v>0</v>
          </cell>
        </row>
        <row r="31">
          <cell r="E31" t="str">
            <v>Coromandel</v>
          </cell>
          <cell r="F31">
            <v>0</v>
          </cell>
          <cell r="L31">
            <v>0</v>
          </cell>
        </row>
        <row r="32">
          <cell r="E32" t="str">
            <v>Auxiliar de Serviços GeraisDiamantina</v>
          </cell>
          <cell r="F32">
            <v>958.27</v>
          </cell>
          <cell r="G32">
            <v>1073.26</v>
          </cell>
          <cell r="L32">
            <v>1073.26</v>
          </cell>
        </row>
        <row r="33">
          <cell r="E33" t="str">
            <v>Auxiliar de Serviços GeraisDIVINÓPOLIS / MG</v>
          </cell>
          <cell r="F33">
            <v>990.02</v>
          </cell>
          <cell r="G33">
            <v>1108.8</v>
          </cell>
          <cell r="L33">
            <v>1108.8</v>
          </cell>
        </row>
        <row r="34">
          <cell r="E34" t="str">
            <v>RecepcionistaDIVINÓPOLIS / MG</v>
          </cell>
          <cell r="F34">
            <v>2039.4</v>
          </cell>
          <cell r="G34">
            <v>2284.13</v>
          </cell>
          <cell r="L34">
            <v>2284.13</v>
          </cell>
        </row>
        <row r="35">
          <cell r="E35" t="str">
            <v>Auxiliar de Serviços GeraisFormiga</v>
          </cell>
          <cell r="F35">
            <v>925.87</v>
          </cell>
          <cell r="G35">
            <v>1036.98</v>
          </cell>
          <cell r="L35">
            <v>1036.98</v>
          </cell>
        </row>
        <row r="36">
          <cell r="E36" t="str">
            <v>Frutal</v>
          </cell>
          <cell r="F36">
            <v>0</v>
          </cell>
          <cell r="L36">
            <v>0</v>
          </cell>
        </row>
        <row r="37">
          <cell r="E37" t="str">
            <v>Auxiliar de Serviços GeraisGOVERNADOR VALADARES / MG</v>
          </cell>
          <cell r="F37">
            <v>990.02</v>
          </cell>
          <cell r="G37">
            <v>990.02</v>
          </cell>
          <cell r="L37">
            <v>990.02</v>
          </cell>
        </row>
        <row r="38">
          <cell r="E38" t="str">
            <v>Porteiro 12x36 DiurnoGOVERNADOR VALADARES / MG</v>
          </cell>
          <cell r="F38">
            <v>1368.87</v>
          </cell>
          <cell r="G38">
            <v>1368.87</v>
          </cell>
          <cell r="L38">
            <v>1368.87</v>
          </cell>
        </row>
        <row r="39">
          <cell r="E39" t="str">
            <v>Porteiro 12x36 NoturnoGOVERNADOR VALADARES / MG</v>
          </cell>
          <cell r="F39">
            <v>1572.69</v>
          </cell>
          <cell r="G39">
            <v>1572.69</v>
          </cell>
          <cell r="L39">
            <v>1572.69</v>
          </cell>
        </row>
        <row r="40">
          <cell r="E40" t="str">
            <v>Guanhães</v>
          </cell>
          <cell r="F40">
            <v>0</v>
          </cell>
          <cell r="L40">
            <v>0</v>
          </cell>
        </row>
        <row r="41">
          <cell r="E41" t="str">
            <v>Porteiro 220 horasIBIA / MG</v>
          </cell>
          <cell r="F41">
            <v>1294.1099999999999</v>
          </cell>
          <cell r="G41">
            <v>1449.4</v>
          </cell>
          <cell r="L41">
            <v>1449.4</v>
          </cell>
        </row>
        <row r="42">
          <cell r="E42" t="str">
            <v>Porteiro 220 horasIbirité</v>
          </cell>
          <cell r="F42">
            <v>1407.02</v>
          </cell>
          <cell r="G42">
            <v>1575.86</v>
          </cell>
          <cell r="L42">
            <v>1575.86</v>
          </cell>
        </row>
        <row r="43">
          <cell r="E43" t="str">
            <v>Auxiliar de Serviços GeraisIPATINGA / MG</v>
          </cell>
          <cell r="F43">
            <v>936.43</v>
          </cell>
          <cell r="G43">
            <v>1083.52</v>
          </cell>
          <cell r="L43">
            <v>1083.52</v>
          </cell>
        </row>
        <row r="44">
          <cell r="E44" t="str">
            <v>RecepcionistaIPATINGA / MG</v>
          </cell>
          <cell r="F44">
            <v>1992.92</v>
          </cell>
          <cell r="G44">
            <v>2232.0700000000002</v>
          </cell>
          <cell r="L44">
            <v>2232.0700000000002</v>
          </cell>
        </row>
        <row r="45">
          <cell r="E45" t="str">
            <v>Itabirito</v>
          </cell>
          <cell r="F45">
            <v>0</v>
          </cell>
          <cell r="L45">
            <v>0</v>
          </cell>
        </row>
        <row r="46">
          <cell r="E46" t="str">
            <v>Auxiliar de Serviços GeraisITAJUBÁ / MG</v>
          </cell>
          <cell r="F46">
            <v>925.87</v>
          </cell>
          <cell r="G46">
            <v>1036.98</v>
          </cell>
          <cell r="L46">
            <v>1036.98</v>
          </cell>
        </row>
        <row r="47">
          <cell r="E47" t="str">
            <v>Porteiro 220 horasITAJUBÁ / MG</v>
          </cell>
          <cell r="F47">
            <v>1294.1099999999999</v>
          </cell>
          <cell r="G47">
            <v>1449.4</v>
          </cell>
          <cell r="L47">
            <v>1449.4</v>
          </cell>
        </row>
        <row r="48">
          <cell r="E48" t="str">
            <v>Auxiliar de Serviços GeraisITAMONTE / MG</v>
          </cell>
          <cell r="F48">
            <v>936.43</v>
          </cell>
          <cell r="G48">
            <v>1048.8</v>
          </cell>
          <cell r="L48">
            <v>1048.8</v>
          </cell>
        </row>
        <row r="49">
          <cell r="E49" t="str">
            <v>Porteiro 220 horasITAÚNA / MG</v>
          </cell>
          <cell r="F49">
            <v>1294.1099999999999</v>
          </cell>
          <cell r="G49">
            <v>1449.4</v>
          </cell>
          <cell r="L49">
            <v>1449.4</v>
          </cell>
        </row>
        <row r="50">
          <cell r="E50" t="str">
            <v>Auxiliar de Serviços GeraisItuiutaba</v>
          </cell>
          <cell r="F50">
            <v>947.22</v>
          </cell>
          <cell r="G50">
            <v>1060.8900000000001</v>
          </cell>
          <cell r="L50">
            <v>1060.8900000000001</v>
          </cell>
        </row>
        <row r="51">
          <cell r="E51" t="str">
            <v>Janaúba</v>
          </cell>
          <cell r="F51">
            <v>0</v>
          </cell>
          <cell r="L51">
            <v>0</v>
          </cell>
        </row>
        <row r="52">
          <cell r="E52" t="str">
            <v>Porteiro 220 horasJANUÁRIA / MG</v>
          </cell>
          <cell r="F52">
            <v>1308.8599999999999</v>
          </cell>
          <cell r="G52">
            <v>1465.92</v>
          </cell>
          <cell r="L52">
            <v>1465.92</v>
          </cell>
        </row>
        <row r="53">
          <cell r="E53" t="str">
            <v>João Pinheiro</v>
          </cell>
          <cell r="F53">
            <v>0</v>
          </cell>
          <cell r="L53">
            <v>0</v>
          </cell>
        </row>
        <row r="54">
          <cell r="E54" t="str">
            <v>Auxiliar de Serviços GeraisJUIZ DE FORA / MG</v>
          </cell>
          <cell r="F54">
            <v>999.9</v>
          </cell>
          <cell r="G54">
            <v>1058.3900000000001</v>
          </cell>
          <cell r="L54">
            <v>1058.3900000000001</v>
          </cell>
        </row>
        <row r="55">
          <cell r="E55" t="str">
            <v>Auxiliar de Serviços GeraisLAVRAS / MG</v>
          </cell>
          <cell r="F55">
            <v>958.27</v>
          </cell>
          <cell r="G55">
            <v>1073.26</v>
          </cell>
          <cell r="L55">
            <v>1073.26</v>
          </cell>
        </row>
        <row r="56">
          <cell r="E56" t="str">
            <v>Porteiro 220 horasLAVRAS / MG</v>
          </cell>
          <cell r="F56">
            <v>1339.38</v>
          </cell>
          <cell r="G56">
            <v>1500.11</v>
          </cell>
          <cell r="L56">
            <v>1500.11</v>
          </cell>
        </row>
        <row r="57">
          <cell r="E57" t="str">
            <v>RecepcionistaLAVRAS / MG</v>
          </cell>
          <cell r="F57">
            <v>2039.4</v>
          </cell>
          <cell r="G57">
            <v>2284.13</v>
          </cell>
          <cell r="L57">
            <v>2284.13</v>
          </cell>
        </row>
        <row r="58">
          <cell r="E58" t="str">
            <v>Leopoldina</v>
          </cell>
          <cell r="F58">
            <v>0</v>
          </cell>
          <cell r="L58">
            <v>0</v>
          </cell>
        </row>
        <row r="59">
          <cell r="E59" t="str">
            <v>Digitador 150 horasMACHADO / MG</v>
          </cell>
          <cell r="F59">
            <v>1065.26</v>
          </cell>
          <cell r="G59">
            <v>1065.26</v>
          </cell>
          <cell r="L59">
            <v>1065.26</v>
          </cell>
        </row>
        <row r="60">
          <cell r="E60" t="str">
            <v>Manga</v>
          </cell>
          <cell r="F60">
            <v>0</v>
          </cell>
          <cell r="L60">
            <v>0</v>
          </cell>
        </row>
        <row r="61">
          <cell r="E61" t="str">
            <v>Mateus Leme</v>
          </cell>
          <cell r="F61">
            <v>0</v>
          </cell>
          <cell r="L61">
            <v>0</v>
          </cell>
        </row>
        <row r="62">
          <cell r="E62" t="str">
            <v>Montes Claros</v>
          </cell>
          <cell r="F62">
            <v>0</v>
          </cell>
          <cell r="L62">
            <v>0</v>
          </cell>
        </row>
        <row r="63">
          <cell r="E63" t="str">
            <v>Auxiliar de Serviços GeraisMORADA NOVA DE MINAS / MG</v>
          </cell>
          <cell r="F63">
            <v>925.87</v>
          </cell>
          <cell r="G63">
            <v>1036.98</v>
          </cell>
          <cell r="L63">
            <v>1036.98</v>
          </cell>
        </row>
        <row r="64">
          <cell r="E64" t="str">
            <v>Auxiliar de Serviços GeraisMURIAÉ / MG</v>
          </cell>
          <cell r="F64">
            <v>936.43</v>
          </cell>
          <cell r="G64">
            <v>1048.8</v>
          </cell>
          <cell r="L64">
            <v>1048.8</v>
          </cell>
        </row>
        <row r="65">
          <cell r="E65" t="str">
            <v>Auxiliar de Serviços GeraisNOVA LIMA / MG</v>
          </cell>
          <cell r="F65">
            <v>967.46</v>
          </cell>
          <cell r="G65">
            <v>1083.51</v>
          </cell>
          <cell r="L65">
            <v>1083.51</v>
          </cell>
        </row>
        <row r="66">
          <cell r="E66" t="str">
            <v>Porteiro 220 horasNOVA PONTE / MG</v>
          </cell>
          <cell r="F66">
            <v>1294.1099999999999</v>
          </cell>
          <cell r="G66">
            <v>1449.4</v>
          </cell>
          <cell r="L66">
            <v>1449.4</v>
          </cell>
        </row>
        <row r="67">
          <cell r="E67" t="str">
            <v>Auxiliar de Serviços GeraisNOVA SERRANA / MG</v>
          </cell>
          <cell r="F67">
            <v>925.87</v>
          </cell>
          <cell r="G67">
            <v>1036.98</v>
          </cell>
          <cell r="L67">
            <v>1036.98</v>
          </cell>
        </row>
        <row r="68">
          <cell r="E68" t="str">
            <v>Oliveira</v>
          </cell>
          <cell r="F68">
            <v>0</v>
          </cell>
          <cell r="L68">
            <v>0</v>
          </cell>
        </row>
        <row r="69">
          <cell r="E69" t="str">
            <v>Porteiro 220 horasOURO PRETO / MG</v>
          </cell>
          <cell r="F69">
            <v>1308.8599999999999</v>
          </cell>
          <cell r="G69">
            <v>1465.92</v>
          </cell>
          <cell r="L69">
            <v>1465.92</v>
          </cell>
        </row>
        <row r="70">
          <cell r="E70" t="str">
            <v>Pará de Minas</v>
          </cell>
          <cell r="F70">
            <v>0</v>
          </cell>
          <cell r="L70">
            <v>0</v>
          </cell>
        </row>
        <row r="71">
          <cell r="E71" t="str">
            <v>Paracatu</v>
          </cell>
          <cell r="F71">
            <v>0</v>
          </cell>
          <cell r="L71">
            <v>0</v>
          </cell>
        </row>
        <row r="72">
          <cell r="E72" t="str">
            <v>Auxiliar de Serviços GeraisPASSOS / MG</v>
          </cell>
          <cell r="F72">
            <v>936.43</v>
          </cell>
          <cell r="G72">
            <v>1048.8</v>
          </cell>
          <cell r="L72">
            <v>1048.8</v>
          </cell>
        </row>
        <row r="73">
          <cell r="E73" t="str">
            <v>RecepcionistaPASSOS / MG</v>
          </cell>
          <cell r="F73">
            <v>1992.92</v>
          </cell>
          <cell r="G73">
            <v>2232.0700000000002</v>
          </cell>
          <cell r="L73">
            <v>2232.0700000000002</v>
          </cell>
        </row>
        <row r="74">
          <cell r="E74" t="str">
            <v>Auxiliar de Serviços GeraisPatos de Minas</v>
          </cell>
          <cell r="F74">
            <v>925.87</v>
          </cell>
          <cell r="G74">
            <v>1036.98</v>
          </cell>
          <cell r="L74">
            <v>1036.98</v>
          </cell>
        </row>
        <row r="75">
          <cell r="E75" t="str">
            <v>Auxiliar de Serviços GeraisPEDRO LEOPOLDO / MG</v>
          </cell>
          <cell r="F75">
            <v>956.55</v>
          </cell>
          <cell r="G75">
            <v>1071.32</v>
          </cell>
          <cell r="L75">
            <v>1071.32</v>
          </cell>
        </row>
        <row r="76">
          <cell r="E76" t="str">
            <v>RecepcionistaPEDRO LEOPOLDO / MG</v>
          </cell>
          <cell r="F76">
            <v>1970.46</v>
          </cell>
          <cell r="G76">
            <v>2206.92</v>
          </cell>
          <cell r="L76">
            <v>2206.92</v>
          </cell>
        </row>
        <row r="77">
          <cell r="E77" t="str">
            <v>Auxiliar de Serviços GeraisPirapetinga</v>
          </cell>
          <cell r="F77">
            <v>925.87</v>
          </cell>
          <cell r="G77">
            <v>1036.98</v>
          </cell>
          <cell r="L77">
            <v>1036.98</v>
          </cell>
        </row>
        <row r="78">
          <cell r="E78" t="str">
            <v>Digitador 150 horasPITANGUI / MG</v>
          </cell>
          <cell r="F78">
            <v>1065.26</v>
          </cell>
          <cell r="G78">
            <v>1065.26</v>
          </cell>
          <cell r="L78">
            <v>1065.26</v>
          </cell>
        </row>
        <row r="79">
          <cell r="E79" t="str">
            <v>Piunhi</v>
          </cell>
          <cell r="F79">
            <v>0</v>
          </cell>
          <cell r="L79">
            <v>0</v>
          </cell>
        </row>
        <row r="80">
          <cell r="E80" t="str">
            <v>Poço Fundo</v>
          </cell>
          <cell r="F80">
            <v>0</v>
          </cell>
          <cell r="L80">
            <v>0</v>
          </cell>
        </row>
        <row r="81">
          <cell r="E81" t="str">
            <v>Auxiliar de Serviços GeraisPoços de Caldas</v>
          </cell>
          <cell r="F81">
            <v>958.27</v>
          </cell>
          <cell r="G81">
            <v>1073.26</v>
          </cell>
          <cell r="L81">
            <v>1073.26</v>
          </cell>
        </row>
        <row r="82">
          <cell r="E82" t="str">
            <v>Porteiro 220 horasPONTE NOVA / MG</v>
          </cell>
          <cell r="F82">
            <v>1308.8599999999999</v>
          </cell>
          <cell r="G82">
            <v>1465.92</v>
          </cell>
          <cell r="L82">
            <v>1465.92</v>
          </cell>
        </row>
        <row r="83">
          <cell r="E83" t="str">
            <v>Porteiro 12x36 NoturnoPONTE NOVA / MG</v>
          </cell>
          <cell r="F83">
            <v>1413.52</v>
          </cell>
          <cell r="G83">
            <v>1583.15</v>
          </cell>
          <cell r="L83">
            <v>1583.15</v>
          </cell>
        </row>
        <row r="84">
          <cell r="E84" t="str">
            <v>Porteirinha</v>
          </cell>
          <cell r="F84">
            <v>0</v>
          </cell>
          <cell r="L84">
            <v>0</v>
          </cell>
        </row>
        <row r="85">
          <cell r="E85" t="str">
            <v>Auxiliar de Serviços GeraisPouso Alegre</v>
          </cell>
          <cell r="F85">
            <v>925.87</v>
          </cell>
          <cell r="G85">
            <v>1036.98</v>
          </cell>
          <cell r="L85">
            <v>1036.98</v>
          </cell>
        </row>
        <row r="86">
          <cell r="E86" t="str">
            <v>Auxiliar de Serviços GeraisRIBEIRÃO DAS NEVES / MG</v>
          </cell>
          <cell r="F86">
            <v>978.61</v>
          </cell>
          <cell r="G86">
            <v>2192.0100000000002</v>
          </cell>
          <cell r="L86">
            <v>2192.0100000000002</v>
          </cell>
        </row>
        <row r="87">
          <cell r="E87" t="str">
            <v>RecepcionistaRIBEIRÃO DAS NEVES / MG</v>
          </cell>
          <cell r="F87">
            <v>2015.89</v>
          </cell>
          <cell r="G87">
            <v>2257.8000000000002</v>
          </cell>
          <cell r="L87">
            <v>2257.8000000000002</v>
          </cell>
        </row>
        <row r="88">
          <cell r="E88" t="str">
            <v>Sacramento</v>
          </cell>
          <cell r="F88">
            <v>0</v>
          </cell>
          <cell r="L88">
            <v>0</v>
          </cell>
        </row>
        <row r="89">
          <cell r="E89" t="str">
            <v>Santa Luzia</v>
          </cell>
          <cell r="F89">
            <v>0</v>
          </cell>
          <cell r="L89">
            <v>0</v>
          </cell>
        </row>
        <row r="90">
          <cell r="E90" t="str">
            <v>Auxiliar de Serviços GeraisSanta Rita do Sapucaí</v>
          </cell>
          <cell r="F90">
            <v>936.43</v>
          </cell>
          <cell r="G90">
            <v>1048.8</v>
          </cell>
          <cell r="L90">
            <v>1048.8</v>
          </cell>
        </row>
        <row r="91">
          <cell r="E91" t="str">
            <v>Santa Vitória</v>
          </cell>
          <cell r="F91">
            <v>0</v>
          </cell>
          <cell r="L91">
            <v>0</v>
          </cell>
        </row>
        <row r="92">
          <cell r="E92" t="str">
            <v>Santo Antônio do Monte</v>
          </cell>
          <cell r="F92">
            <v>0</v>
          </cell>
          <cell r="L92">
            <v>0</v>
          </cell>
        </row>
        <row r="93">
          <cell r="E93" t="str">
            <v>Auxiliar de Serviços GeraisSANTOS DUMONT - MG</v>
          </cell>
          <cell r="F93">
            <v>936.43</v>
          </cell>
          <cell r="G93">
            <v>1048.8</v>
          </cell>
          <cell r="L93">
            <v>1048.8</v>
          </cell>
        </row>
        <row r="94">
          <cell r="E94" t="str">
            <v>São Francisco</v>
          </cell>
          <cell r="F94">
            <v>0</v>
          </cell>
          <cell r="L94">
            <v>0</v>
          </cell>
        </row>
        <row r="95">
          <cell r="E95" t="str">
            <v>Auxiliar de Serviços GeraisSão Gonçalo do Sapucaí</v>
          </cell>
          <cell r="F95">
            <v>925.87</v>
          </cell>
          <cell r="G95">
            <v>1036.98</v>
          </cell>
          <cell r="L95">
            <v>1036.98</v>
          </cell>
        </row>
        <row r="96">
          <cell r="E96" t="str">
            <v>Auxiliar de Serviços GeraisSÃO JOÃO DEL REI / MG</v>
          </cell>
          <cell r="F96">
            <v>925.87</v>
          </cell>
          <cell r="G96">
            <v>1036.98</v>
          </cell>
          <cell r="L96">
            <v>1036.98</v>
          </cell>
        </row>
        <row r="97">
          <cell r="E97" t="str">
            <v>Porteiro 12x36 DiurnoSÃO JOÃO DEL REI / MG</v>
          </cell>
          <cell r="F97">
            <v>1216.46</v>
          </cell>
          <cell r="G97">
            <v>1362.44</v>
          </cell>
          <cell r="L97">
            <v>1362.44</v>
          </cell>
        </row>
        <row r="98">
          <cell r="E98" t="str">
            <v>Porteiro 12x36 NoturnoSÃO JOÃO DEL REI / MG</v>
          </cell>
          <cell r="F98">
            <v>1397.6</v>
          </cell>
          <cell r="G98">
            <v>1565.31</v>
          </cell>
          <cell r="L98">
            <v>1565.31</v>
          </cell>
        </row>
        <row r="99">
          <cell r="E99" t="str">
            <v>São Lourenço</v>
          </cell>
          <cell r="F99">
            <v>0</v>
          </cell>
          <cell r="L99">
            <v>0</v>
          </cell>
        </row>
        <row r="100">
          <cell r="E100" t="str">
            <v>São Sebastião do Paraíso</v>
          </cell>
          <cell r="F100">
            <v>0</v>
          </cell>
          <cell r="L100">
            <v>0</v>
          </cell>
        </row>
        <row r="101">
          <cell r="E101" t="str">
            <v xml:space="preserve">Sete Lagoas </v>
          </cell>
          <cell r="F101">
            <v>0</v>
          </cell>
          <cell r="L101">
            <v>0</v>
          </cell>
        </row>
        <row r="102">
          <cell r="E102" t="str">
            <v>Porteiro 12x36 DiurnoTEÓFILO OTONI / MG</v>
          </cell>
          <cell r="F102">
            <v>1216.46</v>
          </cell>
          <cell r="G102">
            <v>1362.44</v>
          </cell>
          <cell r="L102">
            <v>1362.44</v>
          </cell>
        </row>
        <row r="103">
          <cell r="E103" t="str">
            <v>Porteiro 12x36 NoturnoTEÓFILO OTONI / MG</v>
          </cell>
          <cell r="F103">
            <v>1397.6</v>
          </cell>
          <cell r="G103">
            <v>1565.31</v>
          </cell>
          <cell r="L103">
            <v>1565.31</v>
          </cell>
        </row>
        <row r="104">
          <cell r="E104" t="str">
            <v>Porteiro 12x36 DiurnoTRÊS PONTAS - MG</v>
          </cell>
          <cell r="F104">
            <v>1223.3599999999999</v>
          </cell>
          <cell r="G104">
            <v>1370.16</v>
          </cell>
          <cell r="L104">
            <v>1370.16</v>
          </cell>
        </row>
        <row r="105">
          <cell r="E105" t="str">
            <v>Porteiro 12x36 NoturnoTRÊS PONTAS - MG</v>
          </cell>
          <cell r="F105">
            <v>1405.52</v>
          </cell>
          <cell r="G105">
            <v>1574.18</v>
          </cell>
          <cell r="L105">
            <v>1574.18</v>
          </cell>
        </row>
        <row r="106">
          <cell r="E106" t="str">
            <v>Auxiliar de Serviços GeraisTUPACIGUARA/MG</v>
          </cell>
          <cell r="F106">
            <v>925.87</v>
          </cell>
          <cell r="G106">
            <v>1036.98</v>
          </cell>
          <cell r="L106">
            <v>1036.98</v>
          </cell>
        </row>
        <row r="107">
          <cell r="E107" t="str">
            <v>Auxiliar de Serviços GeraisUBÁ / MG</v>
          </cell>
          <cell r="F107">
            <v>936.43</v>
          </cell>
          <cell r="G107">
            <v>1048.8</v>
          </cell>
          <cell r="L107">
            <v>1048.8</v>
          </cell>
        </row>
        <row r="108">
          <cell r="E108" t="str">
            <v>Porteiro 220 horasUBÁ / MG</v>
          </cell>
          <cell r="F108">
            <v>1308.8599999999999</v>
          </cell>
          <cell r="G108">
            <v>1465.92</v>
          </cell>
          <cell r="L108">
            <v>1465.92</v>
          </cell>
        </row>
        <row r="109">
          <cell r="E109" t="str">
            <v>Auxiliar de Serviços GeraisUBERABA / MG</v>
          </cell>
          <cell r="F109">
            <v>967.46</v>
          </cell>
          <cell r="G109">
            <v>1083.53</v>
          </cell>
          <cell r="L109">
            <v>1083.53</v>
          </cell>
        </row>
        <row r="110">
          <cell r="E110" t="str">
            <v>Digitador 150 horasUBERABA / MG</v>
          </cell>
          <cell r="F110">
            <v>1077.4000000000001</v>
          </cell>
          <cell r="G110">
            <v>1077.4000000000001</v>
          </cell>
          <cell r="L110">
            <v>1077.4000000000001</v>
          </cell>
        </row>
        <row r="111">
          <cell r="E111" t="str">
            <v>Porteiro 220 horasUBERABA / MG</v>
          </cell>
          <cell r="F111">
            <v>1423.05</v>
          </cell>
          <cell r="G111">
            <v>1593.82</v>
          </cell>
          <cell r="L111">
            <v>1593.82</v>
          </cell>
        </row>
        <row r="112">
          <cell r="E112" t="str">
            <v>RecepcionistaUBERABA / MG</v>
          </cell>
          <cell r="F112">
            <v>1992.92</v>
          </cell>
          <cell r="G112">
            <v>2232.0700000000002</v>
          </cell>
          <cell r="L112">
            <v>2232.0700000000002</v>
          </cell>
        </row>
        <row r="113">
          <cell r="E113" t="str">
            <v>Auxiliar de Serviços GeraisUBERLÂNDIA / MG</v>
          </cell>
          <cell r="F113">
            <v>956.55</v>
          </cell>
          <cell r="G113">
            <v>1071.32</v>
          </cell>
          <cell r="L113">
            <v>1071.32</v>
          </cell>
        </row>
        <row r="114">
          <cell r="E114" t="str">
            <v>Digitador 150 horasUBERLÂNDIA / MG</v>
          </cell>
          <cell r="F114">
            <v>1065.26</v>
          </cell>
          <cell r="G114">
            <v>1065.26</v>
          </cell>
          <cell r="L114">
            <v>1065.26</v>
          </cell>
        </row>
        <row r="115">
          <cell r="E115" t="str">
            <v>Porteiro 220 horasUBERLÂNDIA / MG</v>
          </cell>
          <cell r="F115">
            <v>1407.02</v>
          </cell>
          <cell r="G115">
            <v>1575.88</v>
          </cell>
          <cell r="L115">
            <v>1575.88</v>
          </cell>
        </row>
        <row r="116">
          <cell r="E116" t="str">
            <v>RecepcionistaUBERLÂNDIA / MG</v>
          </cell>
          <cell r="F116">
            <v>1970.46</v>
          </cell>
          <cell r="G116">
            <v>2206.92</v>
          </cell>
          <cell r="L116">
            <v>2206.92</v>
          </cell>
        </row>
        <row r="117">
          <cell r="E117" t="str">
            <v>Telefonista 150 horasUBERLÂNDIA / MG</v>
          </cell>
          <cell r="F117">
            <v>1544.65</v>
          </cell>
          <cell r="G117">
            <v>1544.65</v>
          </cell>
          <cell r="L117">
            <v>1544.65</v>
          </cell>
        </row>
        <row r="118">
          <cell r="E118" t="str">
            <v>Porteiro 220 horasVARGINHA / MG</v>
          </cell>
          <cell r="F118">
            <v>1308.8599999999999</v>
          </cell>
          <cell r="G118">
            <v>1465.92</v>
          </cell>
          <cell r="L118">
            <v>1465.92</v>
          </cell>
        </row>
        <row r="119">
          <cell r="E119" t="str">
            <v>Porteiro 12x36 DiurnoVESPASIANO / MG</v>
          </cell>
          <cell r="F119">
            <v>1322.59</v>
          </cell>
          <cell r="G119">
            <v>1481.33</v>
          </cell>
          <cell r="L119">
            <v>1481.33</v>
          </cell>
        </row>
        <row r="120">
          <cell r="E120" t="str">
            <v>Porteiro 12x36 NoturnoVESPASIANO / MG</v>
          </cell>
          <cell r="F120">
            <v>1519.53</v>
          </cell>
          <cell r="G120">
            <v>1701.9</v>
          </cell>
          <cell r="L120">
            <v>1701.9</v>
          </cell>
        </row>
        <row r="121">
          <cell r="E121" t="str">
            <v>RecepcionistaVESPASIANO / MG</v>
          </cell>
          <cell r="F121">
            <v>1970.46</v>
          </cell>
          <cell r="G121">
            <v>2206.92</v>
          </cell>
          <cell r="L121">
            <v>2206.92</v>
          </cell>
        </row>
        <row r="122">
          <cell r="E122" t="str">
            <v>Auxiliar de Serviços GeraisViçosa</v>
          </cell>
          <cell r="F122">
            <v>936.43</v>
          </cell>
          <cell r="G122">
            <v>1048.8</v>
          </cell>
          <cell r="L122">
            <v>1048.8</v>
          </cell>
        </row>
        <row r="123">
          <cell r="E123" t="str">
            <v>AlmoxarifeBELO HORIZONTE / MG</v>
          </cell>
          <cell r="F123">
            <v>1331.82</v>
          </cell>
          <cell r="G123">
            <v>1491.63</v>
          </cell>
          <cell r="L123">
            <v>1491.63</v>
          </cell>
        </row>
        <row r="124">
          <cell r="E124" t="str">
            <v>AscensoristaBELO HORIZONTE / MG</v>
          </cell>
          <cell r="F124">
            <v>1004.99</v>
          </cell>
          <cell r="G124">
            <v>1125.5899999999999</v>
          </cell>
          <cell r="L124">
            <v>1125.5899999999999</v>
          </cell>
        </row>
        <row r="125">
          <cell r="E125" t="str">
            <v>Auxiliar AdministrativoBELO HORIZONTE / MG</v>
          </cell>
          <cell r="F125">
            <v>1417.36</v>
          </cell>
          <cell r="G125">
            <v>1587.44</v>
          </cell>
          <cell r="L125">
            <v>1587.44</v>
          </cell>
        </row>
        <row r="126">
          <cell r="E126" t="str">
            <v>Auxiliar de Serviços GeraisBELO HORIZONTE / MG</v>
          </cell>
          <cell r="F126">
            <v>956.55</v>
          </cell>
          <cell r="G126">
            <v>1071.31</v>
          </cell>
          <cell r="L126">
            <v>1071.31</v>
          </cell>
        </row>
        <row r="127">
          <cell r="E127" t="str">
            <v>CarregadorBELO HORIZONTE / MG</v>
          </cell>
          <cell r="F127">
            <v>956.55</v>
          </cell>
          <cell r="G127">
            <v>1071.31</v>
          </cell>
          <cell r="L127">
            <v>1071.31</v>
          </cell>
        </row>
        <row r="128">
          <cell r="E128" t="str">
            <v>CopeiroBELO HORIZONTE / MG</v>
          </cell>
          <cell r="F128">
            <v>956.55</v>
          </cell>
          <cell r="G128">
            <v>1071.31</v>
          </cell>
          <cell r="L128">
            <v>1071.31</v>
          </cell>
        </row>
        <row r="129">
          <cell r="E129" t="str">
            <v>Digitador 150 horasBELO HORIZONTE / MG</v>
          </cell>
          <cell r="F129">
            <v>1065.26</v>
          </cell>
          <cell r="G129">
            <v>1065.26</v>
          </cell>
          <cell r="L129">
            <v>1065.26</v>
          </cell>
        </row>
        <row r="130">
          <cell r="E130" t="str">
            <v>GarçomBELO HORIZONTE / MG</v>
          </cell>
          <cell r="F130">
            <v>2136.7199999999998</v>
          </cell>
          <cell r="G130">
            <v>2393.12</v>
          </cell>
          <cell r="L130">
            <v>2393.12</v>
          </cell>
        </row>
        <row r="131">
          <cell r="E131" t="str">
            <v>ManobristaBELO HORIZONTE / MG</v>
          </cell>
          <cell r="F131">
            <v>1428.77</v>
          </cell>
          <cell r="G131">
            <v>1600.22</v>
          </cell>
          <cell r="L131">
            <v>1600.22</v>
          </cell>
        </row>
        <row r="132">
          <cell r="E132" t="str">
            <v>Operador de Máquina Reprográfica BELO HORIZONTE / MG</v>
          </cell>
          <cell r="F132">
            <v>1202.78</v>
          </cell>
          <cell r="G132">
            <v>1347.11</v>
          </cell>
          <cell r="L132">
            <v>1347.11</v>
          </cell>
        </row>
        <row r="133">
          <cell r="E133" t="str">
            <v>Porteiro 220 horasBELO HORIZONTE / MG</v>
          </cell>
          <cell r="F133">
            <v>1407.02</v>
          </cell>
          <cell r="G133">
            <v>1575.86</v>
          </cell>
          <cell r="L133">
            <v>1575.86</v>
          </cell>
        </row>
        <row r="134">
          <cell r="E134" t="str">
            <v>Porteiro 12x36 DiurnoBELO HORIZONTE / MG</v>
          </cell>
          <cell r="F134">
            <v>1322.59</v>
          </cell>
          <cell r="G134">
            <v>1481.31</v>
          </cell>
          <cell r="L134">
            <v>1481.31</v>
          </cell>
        </row>
        <row r="135">
          <cell r="E135" t="str">
            <v>Porteiro 12x36 NoturnoBELO HORIZONTE / MG</v>
          </cell>
          <cell r="F135">
            <v>1519.53</v>
          </cell>
          <cell r="G135">
            <v>1701.88</v>
          </cell>
          <cell r="L135">
            <v>1701.88</v>
          </cell>
        </row>
        <row r="136">
          <cell r="E136" t="str">
            <v>Recepcionista 220BELO HORIZONTE / MG</v>
          </cell>
          <cell r="F136">
            <v>1970.46</v>
          </cell>
          <cell r="G136">
            <v>2206.92</v>
          </cell>
          <cell r="L136">
            <v>2206.92</v>
          </cell>
        </row>
        <row r="137">
          <cell r="E137" t="str">
            <v>Recepcionista 150BELO HORIZONTE / MG</v>
          </cell>
          <cell r="F137">
            <v>1343.5</v>
          </cell>
          <cell r="G137">
            <v>1504.72</v>
          </cell>
          <cell r="L137">
            <v>1504.72</v>
          </cell>
        </row>
        <row r="138">
          <cell r="E138" t="str">
            <v>Recepcionista 180BELO HORIZONTE / MG</v>
          </cell>
          <cell r="F138">
            <v>1612.2</v>
          </cell>
          <cell r="G138">
            <v>1805.66</v>
          </cell>
          <cell r="L138">
            <v>1805.66</v>
          </cell>
        </row>
        <row r="139">
          <cell r="E139" t="str">
            <v>Supervisor de Manutenção de VeículosBELO HORIZONTE / MG</v>
          </cell>
          <cell r="F139">
            <v>2581.87</v>
          </cell>
          <cell r="G139">
            <v>2891.69</v>
          </cell>
          <cell r="L139">
            <v>2891.69</v>
          </cell>
        </row>
        <row r="140">
          <cell r="E140" t="str">
            <v>Técnico de Manutenção EletrônicaBELO HORIZONTE / MG</v>
          </cell>
          <cell r="F140">
            <v>2379.54</v>
          </cell>
          <cell r="G140">
            <v>2665.08</v>
          </cell>
          <cell r="L140">
            <v>2665.08</v>
          </cell>
        </row>
        <row r="141">
          <cell r="E141" t="str">
            <v>Telefonista 150 horasBELO HORIZONTE / MG</v>
          </cell>
          <cell r="F141">
            <v>1544.65</v>
          </cell>
          <cell r="G141">
            <v>1544.65</v>
          </cell>
          <cell r="L141">
            <v>1544.65</v>
          </cell>
        </row>
      </sheetData>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tiv. Prepond"/>
      <sheetName val="Sindicato"/>
      <sheetName val="Edital"/>
      <sheetName val="Res. Edital"/>
      <sheetName val="Parâmetro"/>
      <sheetName val="CCT"/>
      <sheetName val="Total"/>
      <sheetName val="Res."/>
      <sheetName val="Res. Cat"/>
      <sheetName val="3.4"/>
      <sheetName val="5.11"/>
      <sheetName val="6"/>
      <sheetName val="6.4"/>
      <sheetName val="6.11"/>
      <sheetName val="7"/>
      <sheetName val="7.4"/>
      <sheetName val="7.12"/>
      <sheetName val="7.15"/>
      <sheetName val="8.15"/>
      <sheetName val="10"/>
      <sheetName val="10.4"/>
      <sheetName val="10.15"/>
      <sheetName val="11.4"/>
      <sheetName val="12.4"/>
      <sheetName val="13.4"/>
      <sheetName val="15.4"/>
      <sheetName val="16"/>
      <sheetName val="16.4"/>
      <sheetName val="16.15"/>
      <sheetName val="17"/>
      <sheetName val="17.4"/>
      <sheetName val="17.6"/>
      <sheetName val="17.7"/>
      <sheetName val="17.15"/>
      <sheetName val="21.4"/>
      <sheetName val="22"/>
      <sheetName val="22.4"/>
      <sheetName val="22.15"/>
      <sheetName val="23.4"/>
      <sheetName val="25"/>
      <sheetName val="25.4"/>
      <sheetName val="25.13"/>
      <sheetName val="25.14"/>
      <sheetName val="27.11"/>
      <sheetName val="28.11"/>
      <sheetName val="29.4"/>
      <sheetName val="31"/>
      <sheetName val="31.4"/>
      <sheetName val="31.11"/>
      <sheetName val="32.4"/>
      <sheetName val="33.11"/>
      <sheetName val="34.4"/>
      <sheetName val="36.11"/>
      <sheetName val="38"/>
      <sheetName val="38.4"/>
      <sheetName val="39"/>
      <sheetName val="39.4"/>
      <sheetName val="39.11"/>
      <sheetName val="39.15"/>
      <sheetName val="41.7"/>
      <sheetName val="45.4"/>
      <sheetName val="46.4"/>
      <sheetName val="47.4"/>
      <sheetName val="48.11"/>
      <sheetName val="49.4"/>
      <sheetName val="51.11"/>
      <sheetName val="54"/>
      <sheetName val="54.4"/>
      <sheetName val="54.15"/>
      <sheetName val="55.4"/>
      <sheetName val="56"/>
      <sheetName val="56.4"/>
      <sheetName val="56.15"/>
      <sheetName val="57.4"/>
      <sheetName val="58.7"/>
      <sheetName val="61.4"/>
      <sheetName val="62"/>
      <sheetName val="62.11"/>
      <sheetName val="62.14"/>
      <sheetName val="64.4"/>
      <sheetName val="65"/>
      <sheetName val="65.4"/>
      <sheetName val="65.15"/>
      <sheetName val="68.4"/>
      <sheetName val="71.4"/>
      <sheetName val="73.4"/>
      <sheetName val="74.4"/>
      <sheetName val="78"/>
      <sheetName val="78.13"/>
      <sheetName val="78.14"/>
      <sheetName val="79"/>
      <sheetName val="79.13"/>
      <sheetName val="79.14"/>
      <sheetName val="81"/>
      <sheetName val="81.4"/>
      <sheetName val="81.11"/>
      <sheetName val="82"/>
      <sheetName val="82.4"/>
      <sheetName val="82.7"/>
      <sheetName val="82.11"/>
      <sheetName val="82.15"/>
      <sheetName val="83"/>
      <sheetName val="83.4"/>
      <sheetName val="83.7"/>
      <sheetName val="83.11"/>
      <sheetName val="83.15"/>
      <sheetName val="83.18"/>
      <sheetName val="84.11"/>
      <sheetName val="85"/>
      <sheetName val="85.13"/>
      <sheetName val="85.14"/>
      <sheetName val="85.15"/>
      <sheetName val="86.4"/>
      <sheetName val="87"/>
      <sheetName val="87.1"/>
      <sheetName val="87.2"/>
      <sheetName val="87.3"/>
      <sheetName val="87.4"/>
      <sheetName val="87.5"/>
      <sheetName val="87.6"/>
      <sheetName val="87.7"/>
      <sheetName val="87.8"/>
      <sheetName val="87.9"/>
      <sheetName val="87.10"/>
      <sheetName val="87.11"/>
      <sheetName val="87.13"/>
      <sheetName val="87.14"/>
      <sheetName val="87.15"/>
      <sheetName val="87.16"/>
      <sheetName val="87.17"/>
      <sheetName val="87.18"/>
      <sheetName val="87.20"/>
      <sheetName val="Unif"/>
    </sheetNames>
    <sheetDataSet>
      <sheetData sheetId="0" refreshError="1"/>
      <sheetData sheetId="1" refreshError="1"/>
      <sheetData sheetId="2" refreshError="1"/>
      <sheetData sheetId="3" refreshError="1"/>
      <sheetData sheetId="4" refreshError="1">
        <row r="2">
          <cell r="A2" t="str">
            <v>Fethemg Interior</v>
          </cell>
          <cell r="B2">
            <v>0</v>
          </cell>
          <cell r="C2">
            <v>3</v>
          </cell>
          <cell r="D2">
            <v>0</v>
          </cell>
          <cell r="E2">
            <v>0</v>
          </cell>
          <cell r="F2">
            <v>6.25</v>
          </cell>
        </row>
        <row r="3">
          <cell r="A3" t="str">
            <v>Alto Paranaiba</v>
          </cell>
          <cell r="B3">
            <v>0</v>
          </cell>
          <cell r="C3">
            <v>0</v>
          </cell>
          <cell r="D3">
            <v>0</v>
          </cell>
          <cell r="E3">
            <v>0</v>
          </cell>
          <cell r="F3">
            <v>90</v>
          </cell>
        </row>
        <row r="4">
          <cell r="A4" t="str">
            <v>Araxá</v>
          </cell>
          <cell r="B4">
            <v>18</v>
          </cell>
          <cell r="C4">
            <v>0</v>
          </cell>
          <cell r="D4">
            <v>0</v>
          </cell>
          <cell r="E4">
            <v>0</v>
          </cell>
          <cell r="F4">
            <v>6.25</v>
          </cell>
        </row>
        <row r="5">
          <cell r="A5" t="str">
            <v>Sind - Asseio</v>
          </cell>
          <cell r="B5">
            <v>0</v>
          </cell>
          <cell r="C5">
            <v>0.8</v>
          </cell>
          <cell r="D5">
            <v>2</v>
          </cell>
          <cell r="E5">
            <v>0.06</v>
          </cell>
          <cell r="F5">
            <v>6.25</v>
          </cell>
        </row>
        <row r="6">
          <cell r="A6" t="str">
            <v>Curvelo</v>
          </cell>
          <cell r="B6">
            <v>0</v>
          </cell>
          <cell r="C6">
            <v>0</v>
          </cell>
          <cell r="D6">
            <v>0</v>
          </cell>
          <cell r="E6">
            <v>0</v>
          </cell>
          <cell r="F6">
            <v>6.25</v>
          </cell>
        </row>
        <row r="7">
          <cell r="A7" t="str">
            <v>Divinopolis</v>
          </cell>
          <cell r="B7">
            <v>0</v>
          </cell>
          <cell r="C7">
            <v>0</v>
          </cell>
          <cell r="D7">
            <v>0</v>
          </cell>
          <cell r="E7">
            <v>0</v>
          </cell>
          <cell r="F7">
            <v>6.25</v>
          </cell>
        </row>
        <row r="8">
          <cell r="A8" t="str">
            <v>Região Uberaba</v>
          </cell>
          <cell r="B8">
            <v>0</v>
          </cell>
          <cell r="C8">
            <v>0</v>
          </cell>
          <cell r="D8">
            <v>0</v>
          </cell>
          <cell r="E8">
            <v>0</v>
          </cell>
          <cell r="F8">
            <v>6.25</v>
          </cell>
        </row>
        <row r="9">
          <cell r="A9" t="str">
            <v>Gov. Valadares</v>
          </cell>
          <cell r="B9">
            <v>0</v>
          </cell>
          <cell r="C9">
            <v>0</v>
          </cell>
          <cell r="D9">
            <v>0</v>
          </cell>
          <cell r="E9">
            <v>0</v>
          </cell>
          <cell r="F9">
            <v>6.25</v>
          </cell>
        </row>
        <row r="10">
          <cell r="A10" t="str">
            <v>SECI</v>
          </cell>
          <cell r="B10">
            <v>0</v>
          </cell>
          <cell r="C10">
            <v>0</v>
          </cell>
          <cell r="D10">
            <v>0</v>
          </cell>
          <cell r="E10">
            <v>0</v>
          </cell>
          <cell r="F10">
            <v>6.25</v>
          </cell>
        </row>
        <row r="11">
          <cell r="A11" t="str">
            <v>São Lourenço</v>
          </cell>
          <cell r="B11">
            <v>0</v>
          </cell>
          <cell r="C11">
            <v>0</v>
          </cell>
          <cell r="D11">
            <v>0</v>
          </cell>
          <cell r="E11">
            <v>0</v>
          </cell>
          <cell r="F11">
            <v>6.25</v>
          </cell>
        </row>
        <row r="12">
          <cell r="A12" t="str">
            <v>Sethac Norte de Minas</v>
          </cell>
          <cell r="B12">
            <v>0</v>
          </cell>
          <cell r="C12">
            <v>0</v>
          </cell>
          <cell r="D12">
            <v>0</v>
          </cell>
          <cell r="E12">
            <v>0</v>
          </cell>
          <cell r="F12">
            <v>6.25</v>
          </cell>
        </row>
        <row r="13">
          <cell r="A13" t="str">
            <v>Juiz de Fora</v>
          </cell>
          <cell r="B13">
            <v>0</v>
          </cell>
          <cell r="C13">
            <v>2.7128500000000004</v>
          </cell>
          <cell r="D13">
            <v>0</v>
          </cell>
          <cell r="E13">
            <v>0</v>
          </cell>
          <cell r="F13">
            <v>6.25</v>
          </cell>
        </row>
        <row r="14">
          <cell r="A14" t="str">
            <v>Cataguases</v>
          </cell>
          <cell r="B14">
            <v>0</v>
          </cell>
          <cell r="C14">
            <v>0</v>
          </cell>
          <cell r="D14">
            <v>0</v>
          </cell>
          <cell r="E14">
            <v>0</v>
          </cell>
          <cell r="F14">
            <v>6.25</v>
          </cell>
        </row>
        <row r="15">
          <cell r="A15" t="str">
            <v>Montes Claros</v>
          </cell>
          <cell r="B15">
            <v>0</v>
          </cell>
          <cell r="C15">
            <v>0</v>
          </cell>
          <cell r="D15">
            <v>0</v>
          </cell>
          <cell r="E15">
            <v>0</v>
          </cell>
          <cell r="F15">
            <v>6.25</v>
          </cell>
        </row>
        <row r="16">
          <cell r="A16" t="str">
            <v>Fethemg RM</v>
          </cell>
          <cell r="B16">
            <v>0</v>
          </cell>
          <cell r="C16">
            <v>3</v>
          </cell>
          <cell r="D16">
            <v>0</v>
          </cell>
          <cell r="E16">
            <v>0</v>
          </cell>
          <cell r="F16">
            <v>6.25</v>
          </cell>
        </row>
        <row r="17">
          <cell r="A17" t="str">
            <v>Sete Lagoas</v>
          </cell>
          <cell r="B17">
            <v>18</v>
          </cell>
          <cell r="C17">
            <v>0</v>
          </cell>
          <cell r="D17">
            <v>0</v>
          </cell>
          <cell r="E17">
            <v>0</v>
          </cell>
          <cell r="F17">
            <v>6.25</v>
          </cell>
        </row>
        <row r="18">
          <cell r="A18" t="str">
            <v>Uberaba</v>
          </cell>
          <cell r="B18">
            <v>18</v>
          </cell>
          <cell r="C18">
            <v>0</v>
          </cell>
          <cell r="D18">
            <v>0</v>
          </cell>
          <cell r="E18">
            <v>0</v>
          </cell>
          <cell r="F18">
            <v>6.25</v>
          </cell>
        </row>
        <row r="19">
          <cell r="A19" t="str">
            <v>Uberlândia</v>
          </cell>
          <cell r="B19">
            <v>0</v>
          </cell>
          <cell r="C19">
            <v>0</v>
          </cell>
          <cell r="D19">
            <v>0</v>
          </cell>
          <cell r="E19">
            <v>0</v>
          </cell>
          <cell r="F19">
            <v>90</v>
          </cell>
        </row>
        <row r="20">
          <cell r="A20" t="str">
            <v>Vespasiano</v>
          </cell>
          <cell r="B20">
            <v>0</v>
          </cell>
          <cell r="C20">
            <v>0</v>
          </cell>
          <cell r="D20">
            <v>0</v>
          </cell>
          <cell r="E20">
            <v>0</v>
          </cell>
          <cell r="F20">
            <v>6.25</v>
          </cell>
        </row>
        <row r="21">
          <cell r="A21" t="str">
            <v>SEAC</v>
          </cell>
          <cell r="B21">
            <v>18</v>
          </cell>
          <cell r="C21">
            <v>3</v>
          </cell>
          <cell r="D21">
            <v>0</v>
          </cell>
          <cell r="E21">
            <v>0</v>
          </cell>
          <cell r="F21">
            <v>6.25</v>
          </cell>
        </row>
        <row r="22">
          <cell r="A22" t="str">
            <v>SINTEL</v>
          </cell>
          <cell r="B22">
            <v>0</v>
          </cell>
          <cell r="C22">
            <v>0</v>
          </cell>
          <cell r="D22">
            <v>0</v>
          </cell>
          <cell r="E22">
            <v>0</v>
          </cell>
          <cell r="F22">
            <v>8.19</v>
          </cell>
        </row>
        <row r="23">
          <cell r="A23" t="str">
            <v>SETASPOC</v>
          </cell>
          <cell r="B23">
            <v>10.5</v>
          </cell>
          <cell r="C23">
            <v>0</v>
          </cell>
          <cell r="F23">
            <v>6.25</v>
          </cell>
        </row>
        <row r="26">
          <cell r="A26" t="str">
            <v>Águas Formosas</v>
          </cell>
          <cell r="B26">
            <v>2.2999999999999998</v>
          </cell>
          <cell r="C26">
            <v>1.65</v>
          </cell>
        </row>
        <row r="27">
          <cell r="A27" t="str">
            <v>Aiuruoca</v>
          </cell>
          <cell r="B27">
            <v>2.2999999999999998</v>
          </cell>
          <cell r="C27">
            <v>1.65</v>
          </cell>
        </row>
        <row r="28">
          <cell r="A28" t="str">
            <v>Alfenas</v>
          </cell>
          <cell r="B28">
            <v>1.75</v>
          </cell>
        </row>
        <row r="29">
          <cell r="A29" t="str">
            <v>Almenara</v>
          </cell>
          <cell r="B29">
            <v>2.2999999999999998</v>
          </cell>
          <cell r="C29">
            <v>1.65</v>
          </cell>
        </row>
        <row r="30">
          <cell r="A30" t="str">
            <v>Araçuaí</v>
          </cell>
          <cell r="B30">
            <v>1.65</v>
          </cell>
        </row>
        <row r="31">
          <cell r="A31" t="str">
            <v>Araguari</v>
          </cell>
          <cell r="B31">
            <v>1.9</v>
          </cell>
        </row>
        <row r="32">
          <cell r="A32" t="str">
            <v>Araxá</v>
          </cell>
          <cell r="B32">
            <v>1.95</v>
          </cell>
        </row>
        <row r="33">
          <cell r="A33" t="str">
            <v>Arcos</v>
          </cell>
          <cell r="B33">
            <v>1.7</v>
          </cell>
        </row>
        <row r="34">
          <cell r="A34" t="str">
            <v>Barbacena</v>
          </cell>
          <cell r="B34">
            <v>2.2999999999999998</v>
          </cell>
          <cell r="C34">
            <v>1.65</v>
          </cell>
        </row>
        <row r="35">
          <cell r="A35" t="str">
            <v>Betim</v>
          </cell>
          <cell r="B35">
            <v>2.2999999999999998</v>
          </cell>
        </row>
        <row r="36">
          <cell r="A36" t="str">
            <v>Campo Belo</v>
          </cell>
          <cell r="B36">
            <v>1.5</v>
          </cell>
        </row>
        <row r="37">
          <cell r="A37" t="str">
            <v>Carangola</v>
          </cell>
          <cell r="B37">
            <v>2.2999999999999998</v>
          </cell>
          <cell r="C37">
            <v>1.65</v>
          </cell>
        </row>
        <row r="38">
          <cell r="A38" t="str">
            <v>Caratinga</v>
          </cell>
          <cell r="B38">
            <v>1.6</v>
          </cell>
        </row>
        <row r="39">
          <cell r="A39" t="str">
            <v>Carmo do Paranaíba</v>
          </cell>
          <cell r="B39">
            <v>2.2999999999999998</v>
          </cell>
          <cell r="C39">
            <v>1.65</v>
          </cell>
        </row>
        <row r="40">
          <cell r="A40" t="str">
            <v>Congonhas</v>
          </cell>
          <cell r="B40">
            <v>1.95</v>
          </cell>
        </row>
        <row r="41">
          <cell r="A41" t="str">
            <v>Conselheiro Lafaiete</v>
          </cell>
          <cell r="B41">
            <v>1.85</v>
          </cell>
        </row>
        <row r="42">
          <cell r="A42" t="str">
            <v>Contagem</v>
          </cell>
          <cell r="B42">
            <v>2.4</v>
          </cell>
        </row>
        <row r="43">
          <cell r="A43" t="str">
            <v>Conquista</v>
          </cell>
          <cell r="B43">
            <v>2.2999999999999998</v>
          </cell>
          <cell r="C43">
            <v>1.65</v>
          </cell>
        </row>
        <row r="44">
          <cell r="A44" t="str">
            <v>Corinto</v>
          </cell>
          <cell r="B44">
            <v>2.2999999999999998</v>
          </cell>
          <cell r="C44">
            <v>1.65</v>
          </cell>
        </row>
        <row r="45">
          <cell r="A45" t="str">
            <v>Coromandel</v>
          </cell>
          <cell r="B45">
            <v>2.2999999999999998</v>
          </cell>
          <cell r="C45">
            <v>1.65</v>
          </cell>
        </row>
        <row r="46">
          <cell r="A46" t="str">
            <v>Diamantina</v>
          </cell>
          <cell r="B46">
            <v>2.1</v>
          </cell>
        </row>
        <row r="47">
          <cell r="A47" t="str">
            <v>Divinópolis</v>
          </cell>
          <cell r="B47">
            <v>2</v>
          </cell>
        </row>
        <row r="48">
          <cell r="A48" t="str">
            <v>Formiga</v>
          </cell>
          <cell r="B48">
            <v>1.65</v>
          </cell>
        </row>
        <row r="49">
          <cell r="A49" t="str">
            <v>Frutal</v>
          </cell>
          <cell r="B49">
            <v>2.2999999999999998</v>
          </cell>
          <cell r="C49">
            <v>1.65</v>
          </cell>
        </row>
        <row r="50">
          <cell r="A50" t="str">
            <v>Governador Valadares</v>
          </cell>
          <cell r="B50">
            <v>2</v>
          </cell>
        </row>
        <row r="51">
          <cell r="A51" t="str">
            <v>Guanhães</v>
          </cell>
          <cell r="B51">
            <v>2.2999999999999998</v>
          </cell>
          <cell r="C51">
            <v>1.65</v>
          </cell>
        </row>
        <row r="52">
          <cell r="A52" t="str">
            <v>Ibiá</v>
          </cell>
          <cell r="B52">
            <v>2.2999999999999998</v>
          </cell>
        </row>
        <row r="53">
          <cell r="A53" t="str">
            <v>Ibirité</v>
          </cell>
          <cell r="B53">
            <v>2.2999999999999998</v>
          </cell>
        </row>
        <row r="54">
          <cell r="A54" t="str">
            <v>Ipatinga</v>
          </cell>
          <cell r="B54">
            <v>2.2000000000000002</v>
          </cell>
        </row>
        <row r="55">
          <cell r="A55" t="str">
            <v>Itabirito</v>
          </cell>
          <cell r="B55">
            <v>2.2999999999999998</v>
          </cell>
          <cell r="C55">
            <v>1.65</v>
          </cell>
        </row>
        <row r="56">
          <cell r="A56" t="str">
            <v>Itajubá</v>
          </cell>
          <cell r="B56">
            <v>2.2000000000000002</v>
          </cell>
        </row>
        <row r="57">
          <cell r="A57" t="str">
            <v>Itamonte</v>
          </cell>
          <cell r="B57">
            <v>3.4</v>
          </cell>
        </row>
        <row r="58">
          <cell r="A58" t="str">
            <v>Itaúna</v>
          </cell>
          <cell r="B58">
            <v>2.1</v>
          </cell>
        </row>
        <row r="59">
          <cell r="A59" t="str">
            <v>Ituiutaba</v>
          </cell>
          <cell r="B59">
            <v>2</v>
          </cell>
        </row>
        <row r="60">
          <cell r="A60" t="str">
            <v>Janaúba</v>
          </cell>
          <cell r="B60">
            <v>2.2999999999999998</v>
          </cell>
          <cell r="C60">
            <v>1.65</v>
          </cell>
        </row>
        <row r="61">
          <cell r="A61" t="str">
            <v>Januária</v>
          </cell>
          <cell r="B61">
            <v>2</v>
          </cell>
        </row>
        <row r="62">
          <cell r="A62" t="str">
            <v>João Pinheiro</v>
          </cell>
          <cell r="B62">
            <v>2.2999999999999998</v>
          </cell>
          <cell r="C62">
            <v>1.65</v>
          </cell>
        </row>
        <row r="63">
          <cell r="A63" t="str">
            <v>Juiz de Fora</v>
          </cell>
          <cell r="B63">
            <v>1.8</v>
          </cell>
        </row>
        <row r="64">
          <cell r="A64" t="str">
            <v>Lavras</v>
          </cell>
          <cell r="B64">
            <v>2.0499999999999998</v>
          </cell>
        </row>
        <row r="65">
          <cell r="A65" t="str">
            <v>Leopoldina</v>
          </cell>
          <cell r="B65">
            <v>2.2999999999999998</v>
          </cell>
          <cell r="C65">
            <v>1.65</v>
          </cell>
        </row>
        <row r="66">
          <cell r="A66" t="str">
            <v>Machado</v>
          </cell>
          <cell r="B66">
            <v>1.6</v>
          </cell>
        </row>
        <row r="67">
          <cell r="A67" t="str">
            <v>Manga</v>
          </cell>
          <cell r="B67">
            <v>2.2999999999999998</v>
          </cell>
          <cell r="C67">
            <v>1.65</v>
          </cell>
        </row>
        <row r="68">
          <cell r="A68" t="str">
            <v>Mateus Leme</v>
          </cell>
          <cell r="B68">
            <v>2.2999999999999998</v>
          </cell>
          <cell r="C68">
            <v>1.65</v>
          </cell>
        </row>
        <row r="69">
          <cell r="A69" t="str">
            <v>Montes Claros</v>
          </cell>
          <cell r="B69">
            <v>2.2999999999999998</v>
          </cell>
          <cell r="C69">
            <v>1.65</v>
          </cell>
        </row>
        <row r="70">
          <cell r="A70" t="str">
            <v>Morada Nova de Minas</v>
          </cell>
          <cell r="B70">
            <v>2.2999999999999998</v>
          </cell>
        </row>
        <row r="71">
          <cell r="A71" t="str">
            <v>Muriaé</v>
          </cell>
          <cell r="B71">
            <v>1.65</v>
          </cell>
        </row>
        <row r="72">
          <cell r="A72" t="str">
            <v>Nova Lima</v>
          </cell>
          <cell r="B72">
            <v>2.4</v>
          </cell>
        </row>
        <row r="73">
          <cell r="A73" t="str">
            <v>Nova Ponte</v>
          </cell>
          <cell r="B73">
            <v>2</v>
          </cell>
        </row>
        <row r="74">
          <cell r="A74" t="str">
            <v>Nova Serrana</v>
          </cell>
          <cell r="B74">
            <v>1.75</v>
          </cell>
        </row>
        <row r="75">
          <cell r="A75" t="str">
            <v>Oliveira</v>
          </cell>
          <cell r="B75">
            <v>2.2999999999999998</v>
          </cell>
          <cell r="C75">
            <v>1.65</v>
          </cell>
        </row>
        <row r="76">
          <cell r="A76" t="str">
            <v>Ouro Preto</v>
          </cell>
          <cell r="B76">
            <v>1.7</v>
          </cell>
        </row>
        <row r="77">
          <cell r="A77" t="str">
            <v>Pará de Minas</v>
          </cell>
          <cell r="B77">
            <v>2.2999999999999998</v>
          </cell>
          <cell r="C77">
            <v>1.65</v>
          </cell>
        </row>
        <row r="78">
          <cell r="A78" t="str">
            <v>Paracatu</v>
          </cell>
          <cell r="B78">
            <v>2.2999999999999998</v>
          </cell>
          <cell r="C78">
            <v>1.65</v>
          </cell>
        </row>
        <row r="79">
          <cell r="A79" t="str">
            <v>Passos</v>
          </cell>
          <cell r="B79">
            <v>2.2999999999999998</v>
          </cell>
        </row>
        <row r="80">
          <cell r="A80" t="str">
            <v>Patos de Minas</v>
          </cell>
          <cell r="B80">
            <v>2</v>
          </cell>
        </row>
        <row r="81">
          <cell r="A81" t="str">
            <v>Pedro Leopoldo</v>
          </cell>
          <cell r="B81">
            <v>2</v>
          </cell>
        </row>
        <row r="82">
          <cell r="A82" t="str">
            <v>Pirapetinga</v>
          </cell>
          <cell r="B82">
            <v>1.25</v>
          </cell>
        </row>
        <row r="83">
          <cell r="A83" t="str">
            <v>Pitangui</v>
          </cell>
          <cell r="B83">
            <v>2.2999999999999998</v>
          </cell>
        </row>
        <row r="84">
          <cell r="A84" t="str">
            <v>Piunhi</v>
          </cell>
          <cell r="B84">
            <v>2.2999999999999998</v>
          </cell>
          <cell r="C84">
            <v>1.65</v>
          </cell>
        </row>
        <row r="85">
          <cell r="A85" t="str">
            <v>Poço Fundo</v>
          </cell>
          <cell r="B85">
            <v>2.2999999999999998</v>
          </cell>
          <cell r="C85">
            <v>1.65</v>
          </cell>
        </row>
        <row r="86">
          <cell r="A86" t="str">
            <v>Poços de Caldas</v>
          </cell>
          <cell r="B86">
            <v>2</v>
          </cell>
        </row>
        <row r="87">
          <cell r="A87" t="str">
            <v>Ponte Nova</v>
          </cell>
          <cell r="B87">
            <v>2</v>
          </cell>
        </row>
        <row r="88">
          <cell r="A88" t="str">
            <v>Porteirinha</v>
          </cell>
          <cell r="B88">
            <v>2.2999999999999998</v>
          </cell>
          <cell r="C88">
            <v>1.65</v>
          </cell>
        </row>
        <row r="89">
          <cell r="A89" t="str">
            <v>Pouso Alegre</v>
          </cell>
          <cell r="B89">
            <v>2.15</v>
          </cell>
        </row>
        <row r="90">
          <cell r="A90" t="str">
            <v>Ribeirão das Neves</v>
          </cell>
          <cell r="B90">
            <v>2.2999999999999998</v>
          </cell>
        </row>
        <row r="91">
          <cell r="A91" t="str">
            <v>Sacramento</v>
          </cell>
          <cell r="B91">
            <v>2.2999999999999998</v>
          </cell>
          <cell r="C91">
            <v>1.65</v>
          </cell>
        </row>
        <row r="92">
          <cell r="A92" t="str">
            <v>Santa Luzia</v>
          </cell>
          <cell r="B92">
            <v>2.2999999999999998</v>
          </cell>
          <cell r="C92">
            <v>1.65</v>
          </cell>
        </row>
        <row r="93">
          <cell r="A93" t="str">
            <v>Santa Rita do Sapucaí</v>
          </cell>
          <cell r="B93">
            <v>1.4</v>
          </cell>
        </row>
        <row r="94">
          <cell r="A94" t="str">
            <v>Santa Vitória</v>
          </cell>
          <cell r="B94">
            <v>2.2999999999999998</v>
          </cell>
          <cell r="C94">
            <v>1.65</v>
          </cell>
        </row>
        <row r="95">
          <cell r="A95" t="str">
            <v>Santo Antônio do Monte</v>
          </cell>
          <cell r="B95">
            <v>2.2999999999999998</v>
          </cell>
          <cell r="C95">
            <v>1.65</v>
          </cell>
        </row>
        <row r="96">
          <cell r="A96" t="str">
            <v>Santos Dumont</v>
          </cell>
          <cell r="B96">
            <v>1.55</v>
          </cell>
        </row>
        <row r="97">
          <cell r="A97" t="str">
            <v>São Francisco</v>
          </cell>
          <cell r="B97">
            <v>2.2999999999999998</v>
          </cell>
          <cell r="C97">
            <v>1.65</v>
          </cell>
        </row>
        <row r="98">
          <cell r="A98" t="str">
            <v>São Gonçalo do Sapucaí</v>
          </cell>
          <cell r="B98">
            <v>1.5</v>
          </cell>
        </row>
        <row r="99">
          <cell r="A99" t="str">
            <v>São João Del Rey</v>
          </cell>
          <cell r="B99">
            <v>1.8</v>
          </cell>
        </row>
        <row r="100">
          <cell r="A100" t="str">
            <v>São Lourenço</v>
          </cell>
          <cell r="B100">
            <v>2.2999999999999998</v>
          </cell>
          <cell r="C100">
            <v>1.65</v>
          </cell>
        </row>
        <row r="101">
          <cell r="A101" t="str">
            <v>São Sebastião do Paraíso</v>
          </cell>
          <cell r="B101">
            <v>2.2999999999999998</v>
          </cell>
          <cell r="C101">
            <v>1.65</v>
          </cell>
        </row>
        <row r="102">
          <cell r="A102" t="str">
            <v xml:space="preserve">Sete Lagoas </v>
          </cell>
          <cell r="B102">
            <v>2.2999999999999998</v>
          </cell>
          <cell r="C102">
            <v>1.65</v>
          </cell>
        </row>
        <row r="103">
          <cell r="A103" t="str">
            <v>Teófilo Otoni</v>
          </cell>
          <cell r="B103">
            <v>1.9</v>
          </cell>
        </row>
        <row r="104">
          <cell r="A104" t="str">
            <v>Três Pontas</v>
          </cell>
          <cell r="B104">
            <v>2.2999999999999998</v>
          </cell>
        </row>
        <row r="105">
          <cell r="A105" t="str">
            <v>Tupaciguara</v>
          </cell>
          <cell r="B105">
            <v>2.2999999999999998</v>
          </cell>
          <cell r="C105">
            <v>1.65</v>
          </cell>
        </row>
        <row r="106">
          <cell r="A106" t="str">
            <v>Ubá</v>
          </cell>
          <cell r="B106">
            <v>1.6</v>
          </cell>
        </row>
        <row r="107">
          <cell r="A107" t="str">
            <v>Uberaba</v>
          </cell>
          <cell r="B107">
            <v>2.2000000000000002</v>
          </cell>
        </row>
        <row r="108">
          <cell r="A108" t="str">
            <v>Uberlândia</v>
          </cell>
          <cell r="B108">
            <v>2.25</v>
          </cell>
        </row>
        <row r="109">
          <cell r="A109" t="str">
            <v>Varginha</v>
          </cell>
          <cell r="B109">
            <v>2.1</v>
          </cell>
        </row>
        <row r="110">
          <cell r="A110" t="str">
            <v>Vespasiano</v>
          </cell>
          <cell r="B110">
            <v>2.2000000000000002</v>
          </cell>
        </row>
        <row r="111">
          <cell r="A111" t="str">
            <v>Viçosa</v>
          </cell>
          <cell r="B111">
            <v>1.5</v>
          </cell>
        </row>
        <row r="112">
          <cell r="A112" t="str">
            <v>Belo Horizonte</v>
          </cell>
          <cell r="B112">
            <v>2.2999999999999998</v>
          </cell>
        </row>
      </sheetData>
      <sheetData sheetId="5" refreshError="1">
        <row r="11">
          <cell r="B11" t="str">
            <v>Águas Formosas</v>
          </cell>
          <cell r="C11" t="str">
            <v>Fethemg Interior</v>
          </cell>
        </row>
        <row r="12">
          <cell r="B12" t="str">
            <v>Aiuruoca</v>
          </cell>
          <cell r="C12" t="str">
            <v>Fethemg Interior</v>
          </cell>
        </row>
        <row r="13">
          <cell r="B13" t="str">
            <v>Alfenas</v>
          </cell>
          <cell r="C13" t="str">
            <v>Fethemg Interior</v>
          </cell>
        </row>
        <row r="14">
          <cell r="B14" t="str">
            <v>Almenara</v>
          </cell>
          <cell r="C14" t="str">
            <v>Fethemg Interior</v>
          </cell>
        </row>
        <row r="15">
          <cell r="B15" t="str">
            <v>Araçuaí</v>
          </cell>
          <cell r="C15" t="str">
            <v>Fethemg Interior</v>
          </cell>
        </row>
        <row r="16">
          <cell r="B16" t="str">
            <v>Araguari</v>
          </cell>
          <cell r="C16" t="str">
            <v>Alto Paranaiba</v>
          </cell>
        </row>
        <row r="17">
          <cell r="B17" t="str">
            <v>Araxá</v>
          </cell>
          <cell r="C17" t="str">
            <v>Araxá</v>
          </cell>
        </row>
        <row r="18">
          <cell r="B18" t="str">
            <v>Arcos</v>
          </cell>
          <cell r="C18" t="str">
            <v>Fethemg Interior</v>
          </cell>
        </row>
        <row r="19">
          <cell r="B19" t="str">
            <v>Barbacena</v>
          </cell>
          <cell r="C19" t="str">
            <v>Fethemg Interior</v>
          </cell>
        </row>
        <row r="20">
          <cell r="B20" t="str">
            <v>Betim</v>
          </cell>
          <cell r="C20" t="str">
            <v>Sind - Asseio</v>
          </cell>
        </row>
        <row r="21">
          <cell r="B21" t="str">
            <v>Campo Belo</v>
          </cell>
          <cell r="C21" t="str">
            <v>Fethemg Interior</v>
          </cell>
        </row>
        <row r="22">
          <cell r="B22" t="str">
            <v>Carangola</v>
          </cell>
          <cell r="C22" t="str">
            <v>Fethemg Interior</v>
          </cell>
        </row>
        <row r="23">
          <cell r="B23" t="str">
            <v>Caratinga</v>
          </cell>
          <cell r="C23" t="str">
            <v>Fethemg Interior</v>
          </cell>
        </row>
        <row r="24">
          <cell r="B24" t="str">
            <v>Carmo do Paranaíba</v>
          </cell>
          <cell r="C24" t="str">
            <v>Alto Paranaiba</v>
          </cell>
        </row>
        <row r="25">
          <cell r="B25" t="str">
            <v>Congonhas</v>
          </cell>
          <cell r="C25" t="str">
            <v>Fethemg Interior</v>
          </cell>
        </row>
        <row r="26">
          <cell r="B26" t="str">
            <v>Conselheiro Lafaiete</v>
          </cell>
          <cell r="C26" t="str">
            <v>Fethemg Interior</v>
          </cell>
        </row>
        <row r="27">
          <cell r="B27" t="str">
            <v>Contagem</v>
          </cell>
          <cell r="C27" t="str">
            <v>Sind - Asseio</v>
          </cell>
        </row>
        <row r="28">
          <cell r="B28" t="str">
            <v>Conquista</v>
          </cell>
          <cell r="C28" t="str">
            <v>Alto Paranaiba</v>
          </cell>
        </row>
        <row r="29">
          <cell r="B29" t="str">
            <v>Corinto</v>
          </cell>
          <cell r="C29" t="str">
            <v>Curvelo</v>
          </cell>
        </row>
        <row r="30">
          <cell r="B30" t="str">
            <v>Coromandel</v>
          </cell>
          <cell r="C30" t="str">
            <v>Alto Paranaiba</v>
          </cell>
        </row>
        <row r="31">
          <cell r="B31" t="str">
            <v>Diamantina</v>
          </cell>
          <cell r="C31" t="str">
            <v>Curvelo</v>
          </cell>
        </row>
        <row r="32">
          <cell r="B32" t="str">
            <v>Divinópolis</v>
          </cell>
          <cell r="C32" t="str">
            <v>Divinopolis</v>
          </cell>
        </row>
        <row r="33">
          <cell r="B33" t="str">
            <v>Formiga</v>
          </cell>
          <cell r="C33" t="str">
            <v>Fethemg Interior</v>
          </cell>
        </row>
        <row r="34">
          <cell r="B34" t="str">
            <v>Frutal</v>
          </cell>
          <cell r="C34" t="str">
            <v>Região Uberaba</v>
          </cell>
        </row>
        <row r="35">
          <cell r="B35" t="str">
            <v>Governador Valadares</v>
          </cell>
          <cell r="C35" t="str">
            <v>Gov. Valadares</v>
          </cell>
        </row>
        <row r="36">
          <cell r="B36" t="str">
            <v>Guanhães</v>
          </cell>
          <cell r="C36" t="str">
            <v>Fethemg Interior</v>
          </cell>
        </row>
        <row r="37">
          <cell r="B37" t="str">
            <v>Ibiá</v>
          </cell>
          <cell r="C37" t="str">
            <v>Alto Paranaiba</v>
          </cell>
        </row>
        <row r="38">
          <cell r="B38" t="str">
            <v>Ibirité</v>
          </cell>
          <cell r="C38" t="str">
            <v>Sind - Asseio</v>
          </cell>
        </row>
        <row r="39">
          <cell r="B39" t="str">
            <v>Ipatinga</v>
          </cell>
          <cell r="C39" t="str">
            <v>SECI</v>
          </cell>
        </row>
        <row r="40">
          <cell r="B40" t="str">
            <v>Itabirito</v>
          </cell>
          <cell r="C40" t="str">
            <v>Fethemg Interior</v>
          </cell>
        </row>
        <row r="41">
          <cell r="B41" t="str">
            <v>Itajubá</v>
          </cell>
          <cell r="C41" t="str">
            <v>São Lourenço</v>
          </cell>
        </row>
        <row r="42">
          <cell r="B42" t="str">
            <v>Itamonte</v>
          </cell>
          <cell r="C42" t="str">
            <v>São Lourenço</v>
          </cell>
        </row>
        <row r="43">
          <cell r="B43" t="str">
            <v>Itaúna</v>
          </cell>
          <cell r="C43" t="str">
            <v>Fethemg Interior</v>
          </cell>
        </row>
        <row r="44">
          <cell r="B44" t="str">
            <v>Ituiutaba</v>
          </cell>
          <cell r="C44" t="str">
            <v>Alto Paranaiba</v>
          </cell>
        </row>
        <row r="45">
          <cell r="B45" t="str">
            <v>Janaúba</v>
          </cell>
          <cell r="C45" t="str">
            <v>Sethac Norte de Minas</v>
          </cell>
        </row>
        <row r="46">
          <cell r="B46" t="str">
            <v>Januária</v>
          </cell>
          <cell r="C46" t="str">
            <v>Sethac Norte de Minas</v>
          </cell>
        </row>
        <row r="47">
          <cell r="B47" t="str">
            <v>João Pinheiro</v>
          </cell>
          <cell r="C47" t="str">
            <v>Fethemg Interior</v>
          </cell>
        </row>
        <row r="48">
          <cell r="B48" t="str">
            <v>Juiz de Fora</v>
          </cell>
          <cell r="C48" t="str">
            <v>Juiz de Fora</v>
          </cell>
        </row>
        <row r="49">
          <cell r="B49" t="str">
            <v>Lavras</v>
          </cell>
          <cell r="C49" t="str">
            <v>São Lourenço</v>
          </cell>
        </row>
        <row r="50">
          <cell r="B50" t="str">
            <v>Leopoldina</v>
          </cell>
          <cell r="C50" t="str">
            <v>Cataguases</v>
          </cell>
        </row>
        <row r="51">
          <cell r="B51" t="str">
            <v>Machado</v>
          </cell>
          <cell r="C51" t="str">
            <v>Fethemg Interior</v>
          </cell>
        </row>
        <row r="52">
          <cell r="B52" t="str">
            <v>Manga</v>
          </cell>
          <cell r="C52" t="str">
            <v>Sethac Norte de Minas</v>
          </cell>
        </row>
        <row r="53">
          <cell r="B53" t="str">
            <v>Mateus Leme</v>
          </cell>
          <cell r="C53" t="str">
            <v>Sind - Asseio</v>
          </cell>
        </row>
        <row r="54">
          <cell r="B54" t="str">
            <v>Montes Claros</v>
          </cell>
          <cell r="C54" t="str">
            <v>Montes Claros</v>
          </cell>
        </row>
        <row r="55">
          <cell r="B55" t="str">
            <v>Morada Nova de Minas</v>
          </cell>
          <cell r="C55" t="str">
            <v>Curvelo</v>
          </cell>
        </row>
        <row r="56">
          <cell r="B56" t="str">
            <v>Muriaé</v>
          </cell>
          <cell r="C56" t="str">
            <v>Cataguases</v>
          </cell>
        </row>
        <row r="57">
          <cell r="B57" t="str">
            <v>Nova Lima</v>
          </cell>
          <cell r="C57" t="str">
            <v>Sind - Asseio</v>
          </cell>
        </row>
        <row r="58">
          <cell r="B58" t="str">
            <v>Nova Ponte</v>
          </cell>
          <cell r="C58" t="str">
            <v>Alto Paranaiba</v>
          </cell>
        </row>
        <row r="59">
          <cell r="B59" t="str">
            <v>Nova Serrana</v>
          </cell>
          <cell r="C59" t="str">
            <v>Fethemg Interior</v>
          </cell>
        </row>
        <row r="60">
          <cell r="B60" t="str">
            <v>Oliveira</v>
          </cell>
          <cell r="C60" t="str">
            <v>Fethemg Interior</v>
          </cell>
        </row>
        <row r="61">
          <cell r="B61" t="str">
            <v>Ouro Preto</v>
          </cell>
          <cell r="C61" t="str">
            <v>Fethemg Interior</v>
          </cell>
        </row>
        <row r="62">
          <cell r="B62" t="str">
            <v>Pará de Minas</v>
          </cell>
          <cell r="C62" t="str">
            <v>Fethemg Interior</v>
          </cell>
        </row>
        <row r="63">
          <cell r="B63" t="str">
            <v>Paracatu</v>
          </cell>
          <cell r="C63" t="str">
            <v>Fethemg Interior</v>
          </cell>
        </row>
        <row r="64">
          <cell r="B64" t="str">
            <v>Passos</v>
          </cell>
          <cell r="C64" t="str">
            <v>Fethemg Interior</v>
          </cell>
        </row>
        <row r="65">
          <cell r="B65" t="str">
            <v>Patos de Minas</v>
          </cell>
          <cell r="C65" t="str">
            <v>Região Uberaba</v>
          </cell>
        </row>
        <row r="66">
          <cell r="B66" t="str">
            <v>Pedro Leopoldo</v>
          </cell>
          <cell r="C66" t="str">
            <v>Fethemg RM</v>
          </cell>
        </row>
        <row r="67">
          <cell r="B67" t="str">
            <v>Pirapetinga</v>
          </cell>
          <cell r="C67" t="str">
            <v>Fethemg Interior</v>
          </cell>
        </row>
        <row r="68">
          <cell r="B68" t="str">
            <v>Pitangui</v>
          </cell>
          <cell r="C68" t="str">
            <v>Fethemg Interior</v>
          </cell>
        </row>
        <row r="69">
          <cell r="B69" t="str">
            <v>Piunhi</v>
          </cell>
          <cell r="C69" t="str">
            <v>Fethemg Interior</v>
          </cell>
        </row>
        <row r="70">
          <cell r="B70" t="str">
            <v>Poço Fundo</v>
          </cell>
          <cell r="C70" t="str">
            <v>Fethemg Interior</v>
          </cell>
        </row>
        <row r="71">
          <cell r="B71" t="str">
            <v>Poços de Caldas</v>
          </cell>
          <cell r="C71" t="str">
            <v>Fethemg Interior</v>
          </cell>
        </row>
        <row r="72">
          <cell r="B72" t="str">
            <v>Ponte Nova</v>
          </cell>
          <cell r="C72" t="str">
            <v>Fethemg Interior</v>
          </cell>
        </row>
        <row r="73">
          <cell r="B73" t="str">
            <v>Porteirinha</v>
          </cell>
          <cell r="C73" t="str">
            <v>Sethac Norte de Minas</v>
          </cell>
        </row>
        <row r="74">
          <cell r="B74" t="str">
            <v>Pouso Alegre</v>
          </cell>
          <cell r="C74" t="str">
            <v>São Lourenço</v>
          </cell>
        </row>
        <row r="75">
          <cell r="B75" t="str">
            <v>Ribeirão das Neves</v>
          </cell>
          <cell r="C75" t="str">
            <v>Sind - Asseio</v>
          </cell>
        </row>
        <row r="76">
          <cell r="B76" t="str">
            <v>Sacramento</v>
          </cell>
          <cell r="C76" t="str">
            <v>Região Uberaba</v>
          </cell>
        </row>
        <row r="77">
          <cell r="B77" t="str">
            <v>Santa Luzia</v>
          </cell>
          <cell r="C77" t="str">
            <v>Sind - Asseio</v>
          </cell>
        </row>
        <row r="78">
          <cell r="B78" t="str">
            <v>Santa Rita do Sapucaí</v>
          </cell>
          <cell r="C78" t="str">
            <v>São Lourenço</v>
          </cell>
        </row>
        <row r="79">
          <cell r="B79" t="str">
            <v>Santa Vitória</v>
          </cell>
          <cell r="C79" t="str">
            <v>Alto Paranaiba</v>
          </cell>
        </row>
        <row r="80">
          <cell r="B80" t="str">
            <v>Santo Antônio do Monte</v>
          </cell>
          <cell r="C80" t="str">
            <v>Fethemg Interior</v>
          </cell>
        </row>
        <row r="81">
          <cell r="B81" t="str">
            <v>Santos Dumont</v>
          </cell>
          <cell r="C81" t="str">
            <v>Fethemg Interior</v>
          </cell>
        </row>
        <row r="82">
          <cell r="B82" t="str">
            <v>São Francisco</v>
          </cell>
          <cell r="C82" t="str">
            <v>Sethac Norte de Minas</v>
          </cell>
        </row>
        <row r="83">
          <cell r="B83" t="str">
            <v>São Gonçalo do Sapucaí</v>
          </cell>
          <cell r="C83" t="str">
            <v>Fethemg Interior</v>
          </cell>
        </row>
        <row r="84">
          <cell r="B84" t="str">
            <v>São João Del Rey</v>
          </cell>
          <cell r="C84" t="str">
            <v>Fethemg Interior</v>
          </cell>
        </row>
        <row r="85">
          <cell r="B85" t="str">
            <v>São Lourenço</v>
          </cell>
          <cell r="C85" t="str">
            <v>São Lourenço</v>
          </cell>
        </row>
        <row r="86">
          <cell r="B86" t="str">
            <v>São Sebastião do Paraíso</v>
          </cell>
          <cell r="C86" t="str">
            <v>Fethemg Interior</v>
          </cell>
        </row>
        <row r="87">
          <cell r="B87" t="str">
            <v xml:space="preserve">Sete Lagoas </v>
          </cell>
          <cell r="C87" t="str">
            <v>Sete Lagoas</v>
          </cell>
        </row>
        <row r="88">
          <cell r="B88" t="str">
            <v>Teófilo Otoni</v>
          </cell>
          <cell r="C88" t="str">
            <v>Fethemg Interior</v>
          </cell>
        </row>
        <row r="89">
          <cell r="B89" t="str">
            <v>Três Pontas</v>
          </cell>
          <cell r="C89" t="str">
            <v>São Lourenço</v>
          </cell>
        </row>
        <row r="90">
          <cell r="B90" t="str">
            <v>Tupaciguara</v>
          </cell>
          <cell r="C90" t="str">
            <v>Alto Paranaiba</v>
          </cell>
        </row>
        <row r="91">
          <cell r="B91" t="str">
            <v>Ubá</v>
          </cell>
          <cell r="C91" t="str">
            <v>Cataguases</v>
          </cell>
        </row>
        <row r="92">
          <cell r="B92" t="str">
            <v>Uberaba</v>
          </cell>
          <cell r="C92" t="str">
            <v>Uberaba</v>
          </cell>
        </row>
        <row r="93">
          <cell r="B93" t="str">
            <v>Uberlândia</v>
          </cell>
          <cell r="C93" t="str">
            <v>Uberlândia</v>
          </cell>
        </row>
        <row r="94">
          <cell r="B94" t="str">
            <v>Varginha</v>
          </cell>
          <cell r="C94" t="str">
            <v>Fethemg Interior</v>
          </cell>
        </row>
        <row r="95">
          <cell r="B95" t="str">
            <v>Vespasiano</v>
          </cell>
          <cell r="C95" t="str">
            <v>Vespasiano</v>
          </cell>
        </row>
        <row r="96">
          <cell r="B96" t="str">
            <v>Viçosa</v>
          </cell>
          <cell r="C96" t="str">
            <v>Fethemg Interior</v>
          </cell>
        </row>
        <row r="97">
          <cell r="B97" t="str">
            <v>Subtotal nº vagas (interior)</v>
          </cell>
        </row>
        <row r="98">
          <cell r="B98" t="str">
            <v>Belo Horizonte</v>
          </cell>
          <cell r="C98" t="str">
            <v>SEAC</v>
          </cell>
        </row>
        <row r="99">
          <cell r="B99" t="str">
            <v>Subtotal nº vagas (capital)</v>
          </cell>
        </row>
        <row r="101">
          <cell r="B101" t="str">
            <v>TOTAL (interior e capital)</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S APOIO"/>
      <sheetName val="Uniforme Apoio"/>
      <sheetName val="Equipamentos Jardinagem"/>
      <sheetName val="Material de consumo jardinagem"/>
      <sheetName val="CCT"/>
      <sheetName val="Parâmetro"/>
      <sheetName val="Resumo Geral"/>
      <sheetName val="Resumo Cat"/>
      <sheetName val="TOTALIZADORA MÓDULOS"/>
      <sheetName val="BASE COMPOSIÇÃO MÓDULOS 4 E 5"/>
      <sheetName val="CARGOS BH"/>
      <sheetName val="CARGOS SEAC BH"/>
      <sheetName val="ALMOXARIFE BH"/>
      <sheetName val=" ASCENSORISTA BH "/>
      <sheetName val=" AUX ADM BH "/>
      <sheetName val=" AUX ARQUIVO BH"/>
      <sheetName val=" AUX MAN PREDIAL BH "/>
      <sheetName val="BOMBEIRO HIDRAULICO BH "/>
      <sheetName val=" CARREGADOR BH "/>
      <sheetName val="CONTÍNUO BH"/>
      <sheetName val="COPEIRO BH "/>
      <sheetName val="COZINHEIRO BH"/>
      <sheetName val="ELETRICISTA BH  "/>
      <sheetName val=" GARÇOM BH"/>
      <sheetName val="JARDINEIRO BH  "/>
      <sheetName val="LAVADOR DE VEIC BH  "/>
      <sheetName val=" MANOBRISTA BH"/>
      <sheetName val="MARCENEIRO BH  "/>
      <sheetName val="PEDREIRO BH  "/>
      <sheetName val="PINTOR BH   "/>
      <sheetName val=" PORTEIRO BH 220 "/>
      <sheetName val=" PORTEIRO BH 12x36 DIURNO "/>
      <sheetName val=" PORTEIRO BH 12x36 NOTURNO"/>
      <sheetName val=" RECEPCIONISTA 220 BH"/>
      <sheetName val=" RECEPCIONISTA 150 H BH"/>
      <sheetName val="SERRALHEIRO BH "/>
      <sheetName val=" SUP. MAN. VEÍCULOS BH"/>
      <sheetName val="MECANICO CLIMATIZAÇÃO BH"/>
      <sheetName val="CARGOS SETTASPOC BH"/>
      <sheetName val=" DIGITADOR BH"/>
      <sheetName val="OP. MAQ. REP BH "/>
      <sheetName val=" TÉC. DE MANUT. ELET. I BH"/>
      <sheetName val=" TÉC. DE MANUT. ELET. II BH "/>
      <sheetName val=" TÉC. DE MANUT. ELET. IV BH "/>
      <sheetName val="CARGOS SINTEL BH "/>
      <sheetName val=" TELEFONISTA 150 H BH"/>
      <sheetName val="CARGOS SINTERT BH "/>
      <sheetName val=" TÉC. MANUT. EQUIP. AUD E VI BH"/>
      <sheetName val="CARGOS RODOVIÁRIOS BH "/>
      <sheetName val="MOTORISTAS BH"/>
      <sheetName val="CARGOS ALMENARA"/>
      <sheetName val=" PORTEIRO ALMENARA 220  "/>
      <sheetName val="CARGOS ARAÇUAÍ"/>
      <sheetName val=" PORTEIRO ARAÇUAÍ 220 "/>
      <sheetName val="CARGOS ARAGUARI"/>
      <sheetName val=" PORTEIRO ARAGUARI 220 "/>
      <sheetName val="CARGOS ARAXÁ"/>
      <sheetName val=" PORTEIRO 220 - ARAXÁ "/>
      <sheetName val=" RECEPCIONISTA ARAXÁ 150"/>
      <sheetName val="CARGOS ARCOS"/>
      <sheetName val=" RECEPCIONISTA ARCOS 150"/>
      <sheetName val="CARGOS ARINOS"/>
      <sheetName val=" PORTEIRO ARINOS 220 "/>
      <sheetName val="CARGOS BARBACENA"/>
      <sheetName val="MOTORISTA BARBACENA"/>
      <sheetName val="CARGOS BETIM"/>
      <sheetName val="CARGOS SIND-ASSEIO BETIM "/>
      <sheetName val=" RECEPCIONISTA BETIM 150"/>
      <sheetName val="CARGOS RODOVIÁRIOS BETIM"/>
      <sheetName val="MOTORISTA BETIM"/>
      <sheetName val="CARGOS CAETÉ"/>
      <sheetName val=" PORTEIRO CAETÉ 12X36 DIURNO"/>
      <sheetName val="PORTEIRO CAETE 12x36 NOTURNO"/>
      <sheetName val="CARGOS CARATINGA "/>
      <sheetName val="MOTORISTA CARATINGA"/>
      <sheetName val="CARGOS CONS. LAFAIETE"/>
      <sheetName val="CARGO FETHEMG IN CONS. LAFAIETE"/>
      <sheetName val=" PORTEIRO CON. LAFA. 12x36 DIUR"/>
      <sheetName val="PORTEIRO CON. LAFAI 12x36 NOTUR"/>
      <sheetName val="RECEPCIONISTA CON. LAFAIETE 150"/>
      <sheetName val="CARGO RODOVIÁRIOS CONS.LAFAIET "/>
      <sheetName val="MOTORISTA CONSELHEIRO LAFAIETE"/>
      <sheetName val="CARGOS CONS. PENA"/>
      <sheetName val=" PORTEIRO CONSELHEIRO PENA 220"/>
      <sheetName val="CARGOS CONTAGEM"/>
      <sheetName val="CARGO SIND ASSEIO CONTAGEM"/>
      <sheetName val="COPEIRO CONTAGEM"/>
      <sheetName val="RECEPCIONISTA CONTAGEM 150"/>
      <sheetName val="CARGOS RODOVIÁRIOS CONTAGEM "/>
      <sheetName val="MOTORISTA CONTAGEM"/>
      <sheetName val="CARGOS DIAMANTINA"/>
      <sheetName val="CARGOS CCT CURVELO DIAMANTINA "/>
      <sheetName val=" PORTEIRO DIAMANTINA 12x36 DIUR"/>
      <sheetName val="PORTEIRO DIAMANTINA 12x36 NOTUR"/>
      <sheetName val="CARGOS RODOVIÁRIOS DIAMANTINA "/>
      <sheetName val="MOTORISTA DIAMANTINA"/>
      <sheetName val="CARGOS DIVINÓPOLIS"/>
      <sheetName val="CARGOS SETTASPOC DIVINÓPOLIS"/>
      <sheetName val="TEC. MANU. ELET III  DIVINOPOLI"/>
      <sheetName val="CARGOS RODOVIÁRIOS DIVINÓPOLIS "/>
      <sheetName val="MOTORISTA DIVINÓPOLIS"/>
      <sheetName val="CARGOS GOV. VALADARES"/>
      <sheetName val="CARGOS CCT GV GOV. VALADARES"/>
      <sheetName val=" PORTEIRO GOV. VALADA 12x36 DIU"/>
      <sheetName val="PORTEIRO GOV. VALADA 12x36 NOTU"/>
      <sheetName val="CARGO SETTASPOC GOV. VALADARES"/>
      <sheetName val=" TÉC. MANUT. ELET. III GOV. VAL"/>
      <sheetName val="CARGO RODOVIARIOS GOV. VALADARE"/>
      <sheetName val="MOTORISTA GOV. VALADARES"/>
      <sheetName val="CARGOS IBIÁ"/>
      <sheetName val=" PORTEIRO IBIÁ 220 "/>
      <sheetName val="CARGOS IBIRITÉ"/>
      <sheetName val=" PORTEIRO IBIRITÉ 12x36 DIURNO"/>
      <sheetName val="PORTEIRO IBIRITÉ 12x36  NOTURNO"/>
      <sheetName val="CARGOS IPATINGA  "/>
      <sheetName val="RECEPCIONISTA IPATINGA 150"/>
      <sheetName val="CARGOS ITABIRA "/>
      <sheetName val=" PORTEIRO ITABIRA 12X36 DIURNO"/>
      <sheetName val="PORTEIRO ITABIRA 12x36 NOTURNO"/>
      <sheetName val="CARGOS ITAJUBÁ"/>
      <sheetName val=" PORTEIRO ITAJUBÁ 220  "/>
      <sheetName val="CARGOS ITAÚNA"/>
      <sheetName val=" PORTEIRO ITAUNA 220  "/>
      <sheetName val="RECEPCIONISTA ITAÚNA 150 "/>
      <sheetName val="CARGOS ITUIUTABA"/>
      <sheetName val="CARGOS ALTO PARANAIBA ITUIUTABA"/>
      <sheetName val=" PORTEIRO ITUIUTABA 220  "/>
      <sheetName val="CARGOS RODOVIÁRIOS ITUIUTABA"/>
      <sheetName val="MOTORISTA ITUIUTABA"/>
      <sheetName val="CARGOS JANAÚBA"/>
      <sheetName val=" PORTEIRO JANAÚBA 220"/>
      <sheetName val="CARGOS JANUARIA"/>
      <sheetName val=" PORTEIRO JANUÁRIA 220   "/>
      <sheetName val="CARGOS JUIZ DE FORA"/>
      <sheetName val="CARGOS SINDADOS JUIZ DE FORA "/>
      <sheetName val=" TEC. DE MAN. ELETR. III JF"/>
      <sheetName val="CARGO RODOVIÁRIOS JUIZ DE FORA "/>
      <sheetName val="MOTORISTA JUIZ DE FORA"/>
      <sheetName val="CARGOS LAVRAS"/>
      <sheetName val="CARGOS REGIÃO SAO LOUREN LAVRAS"/>
      <sheetName val=" PORTEIRO LAVRAS 220    "/>
      <sheetName val="RECEPCIONISTA LAVRAS 150  "/>
      <sheetName val="CARGOS RODOVIÁRIOS LAVRAS "/>
      <sheetName val="MOTORISTA LAVRAS"/>
      <sheetName val="CARGOS MACHADO"/>
      <sheetName val=" PORTEIRO MACHADO 220  "/>
      <sheetName val="CARGOS MANGA"/>
      <sheetName val=" PORTEIRO MANGA 12x36 DIURNO"/>
      <sheetName val="PORTEIRO MANGA12x36  NOTURNO"/>
      <sheetName val="CARGOS MIRAÍ"/>
      <sheetName val=" PORTEIRO MIRAÍ 220 "/>
      <sheetName val="CARGOS MONTES CLAROS"/>
      <sheetName val="CARGOS CCT MC MONTES CLAROS "/>
      <sheetName val=" PORTEI MONTES CLA 12x36 DIURNO"/>
      <sheetName val="PORTEI MONTES CLAR12x36  NOTURN"/>
      <sheetName val="CARGO SETTASPOC MONTES CLAROS"/>
      <sheetName val=" TEC. DE MAN. ELETR. III MC"/>
      <sheetName val="CARGO RODOVIARIOS MONTES CLAROS"/>
      <sheetName val="MOTORISTA MONTES CLAROS"/>
      <sheetName val="CARGOS NOVA LIMA"/>
      <sheetName val="CARGO SIND ASSEIO NOVA LIMA "/>
      <sheetName val=" PORTEIRO NOVA LIMA 12x36 DIURN"/>
      <sheetName val="PORTEIRO NOVA LIMA12x36 NOTURN"/>
      <sheetName val="RECEPCIONISTA NOVA LIMA 150"/>
      <sheetName val="CARGO RODOVIÁRIOS NOVA LIMA"/>
      <sheetName val="MOTORISTA NOVA LIMA"/>
      <sheetName val="CARGOS NOVA PONTE"/>
      <sheetName val=" PORTEIRO NOVA PONTE 220 "/>
      <sheetName val="CARGOS OLIVEIRA"/>
      <sheetName val="RECEPCIONISTA OLIVEIRA 150 "/>
      <sheetName val="CARGOS OURO PRETO"/>
      <sheetName val=" PORTEIRO OURO PRETO 220  "/>
      <sheetName val="CARGOS PASSOS"/>
      <sheetName val="CARGO REGIÃO DE SAO LOUR PASSOS"/>
      <sheetName val=" PORTEIRO PASSOS 220 "/>
      <sheetName val="RECEPCIONISTA PASSOS 150  "/>
      <sheetName val="CARGOS RODOVIÁRIOS PASSOS "/>
      <sheetName val="MOTORISTA PASSOS"/>
      <sheetName val="CARGOS PATOS DE MINAS"/>
      <sheetName val="MOTORISTA PATOS DE MINAS"/>
      <sheetName val="CARGOS PEDRO LEOPOLDO"/>
      <sheetName val="RECEPCIONISTA PEDRO LEOPOLDO"/>
      <sheetName val="CARGOS POÇOS DE CALDAS"/>
      <sheetName val="MOTORISTA POÇOS DE CALDAS"/>
      <sheetName val="CARGOS PONTE NOVA"/>
      <sheetName val=" PORTEIRO PONTE NOVA 220 "/>
      <sheetName val="CARGOS POUSO ALEGRE"/>
      <sheetName val="MOTORISTA POUSO ALEGRE"/>
      <sheetName val="CARGOS RIBEIRÃO DAS NEVES"/>
      <sheetName val="MOTORISTA RIBEIRÃO DAS NEVES"/>
      <sheetName val="CARGOS SANTA LUZIA "/>
      <sheetName val="MOTORISTA SANTA LUZIA"/>
      <sheetName val="CARGOS SANTO ANTONIO DO MONTE"/>
      <sheetName val=" PORTEIRO SANTO ANT. MONTE 220"/>
      <sheetName val="CARGOS SÃO JOÃO DA PONTE"/>
      <sheetName val=" PORTEIRO SAO J. PONTE 220  "/>
      <sheetName val="CARGOS SÃO JOÃO DEL REI"/>
      <sheetName val="CARGO REGIÃO JF SÃO J. D. REI "/>
      <sheetName val=" PORTEIRO SÃO J. D. REI12X36DIU"/>
      <sheetName val="PORTEIRO SAO J. D. REI12x36NOTU"/>
      <sheetName val="RECEPCIONISTA SÃO JOAO DEL REI"/>
      <sheetName val="CARGO RODOVIÁRIO SÃO J. D. REI "/>
      <sheetName val="MOTORISTA SÃO JOAO DEL REI"/>
      <sheetName val="CARGOS SETE LAGOAS"/>
      <sheetName val="CARGO CCT SETE LAG.SETE LAGOAS "/>
      <sheetName val=" PORTEIRO SETE LAGOAS 12X3 DIUR"/>
      <sheetName val="PORTEIRO SETE LAGOAS 12x36 NOTU"/>
      <sheetName val="CARGOS RODOVIÁRIOS SETE LAGOAS"/>
      <sheetName val="MOTORISTA SETE LAGOAS"/>
      <sheetName val="CARGOS TEÓFILO OTONI"/>
      <sheetName val="CARGOS CCT TEÓFILO OTONI "/>
      <sheetName val=" PORTEIRO TEÓF. OTONI 12X3 DIUR"/>
      <sheetName val="PORTEIRO TEOF. OTONI  12x36 NOT"/>
      <sheetName val="CARGO RODOVIÁRIOS TEÓFILO OTONI"/>
      <sheetName val="MOTORISTA TEÓFILO OTONI"/>
      <sheetName val="CARGOS TRES PONTAS"/>
      <sheetName val=" PORTEIRO TRES PONTAS 12X3DIURN"/>
      <sheetName val="PORTEIRO TRES PONTAS  12x36 NOT"/>
      <sheetName val="CARGOS UBÁ "/>
      <sheetName val="CARGOS CATAGUASES UBÁ "/>
      <sheetName val=" PORTEIRO UBÁ 220"/>
      <sheetName val="CARGOS RODOVIÁRIOS UBÁ "/>
      <sheetName val="MOTORISTA UBÁ"/>
      <sheetName val="CARGOS UBERABA"/>
      <sheetName val="CARGOS CCT UBERABA"/>
      <sheetName val="RECEPCIONISTA UBERABA 150"/>
      <sheetName val="CARGO SETTASPOC UBERABA"/>
      <sheetName val=" TEC. DE MAN. ELETR. III UBERAB"/>
      <sheetName val="CARGO RODOVIÁRIOS UBERABA "/>
      <sheetName val="MOTORISTA UBERABA"/>
      <sheetName val="CARGOS UBERLÂNDIA"/>
      <sheetName val="CARGO CCT UBERLÂNDIA "/>
      <sheetName val=" PORTEIRO UBERLANDIA 220 "/>
      <sheetName val="RECEPCIONISTA UBERLANDIA 150"/>
      <sheetName val="CARGO SETTASPOC UBERLÂNDIA"/>
      <sheetName val=" TEC. DE MAN. ELETR. III UBERL."/>
      <sheetName val="CARGO SINTEL UBERLÂNDIA "/>
      <sheetName val=" TELEFONISTA 150 UBERLANDIA"/>
      <sheetName val="CARGO RODOVIÁRIOS UBERLÂNDIA "/>
      <sheetName val="MOTORISTA UBERLANDIA"/>
      <sheetName val="CARGOS VARGINHA"/>
      <sheetName val="RECEPCIONISTA VARGINHA 150"/>
      <sheetName val="CARGOS VESPASIANO"/>
      <sheetName val="CARGO CCT VESPASIANO"/>
      <sheetName val=" PORTEIRO VESPASIANO 12X3DIURNO"/>
      <sheetName val="PORTEIRO VESPASIANO 12x36 NOTUR"/>
      <sheetName val="RECEPCIONISTA VESPASIANO 150"/>
      <sheetName val="CARGOS RODOVIÁRIOS VESPASIANO "/>
      <sheetName val="MOTORISTA VESPASIANO"/>
    </sheetNames>
    <sheetDataSet>
      <sheetData sheetId="0">
        <row r="1">
          <cell r="A1" t="str">
            <v>Comarca</v>
          </cell>
          <cell r="B1" t="str">
            <v>Apoio e motorista (%)</v>
          </cell>
        </row>
        <row r="2">
          <cell r="A2" t="str">
            <v>Abre Campo</v>
          </cell>
          <cell r="B2">
            <v>0.03</v>
          </cell>
        </row>
        <row r="3">
          <cell r="A3" t="str">
            <v xml:space="preserve">Águas Formosas </v>
          </cell>
          <cell r="B3">
            <v>0.05</v>
          </cell>
        </row>
        <row r="4">
          <cell r="A4" t="str">
            <v>Aiuruoca</v>
          </cell>
          <cell r="B4">
            <v>0.03</v>
          </cell>
        </row>
        <row r="5">
          <cell r="A5" t="str">
            <v>Alfenas</v>
          </cell>
          <cell r="B5">
            <v>0.02</v>
          </cell>
        </row>
        <row r="6">
          <cell r="A6" t="str">
            <v>Almenara</v>
          </cell>
          <cell r="B6">
            <v>0.03</v>
          </cell>
        </row>
        <row r="7">
          <cell r="A7" t="str">
            <v>Andradas</v>
          </cell>
          <cell r="B7">
            <v>0.05</v>
          </cell>
        </row>
        <row r="8">
          <cell r="A8" t="str">
            <v>Araçuaí</v>
          </cell>
          <cell r="B8">
            <v>0.03</v>
          </cell>
        </row>
        <row r="9">
          <cell r="A9" t="str">
            <v>Araguari</v>
          </cell>
          <cell r="B9">
            <v>0.03</v>
          </cell>
        </row>
        <row r="10">
          <cell r="A10" t="str">
            <v>Araxá</v>
          </cell>
          <cell r="B10">
            <v>0.02</v>
          </cell>
        </row>
        <row r="11">
          <cell r="A11" t="str">
            <v>Arcos</v>
          </cell>
          <cell r="B11">
            <v>0.02</v>
          </cell>
        </row>
        <row r="12">
          <cell r="A12" t="str">
            <v>Arinos</v>
          </cell>
          <cell r="B12">
            <v>0.03</v>
          </cell>
        </row>
        <row r="13">
          <cell r="A13" t="str">
            <v>Barbacena</v>
          </cell>
          <cell r="B13">
            <v>3.5000000000000003E-2</v>
          </cell>
        </row>
        <row r="14">
          <cell r="A14" t="str">
            <v>Belo Horizonte</v>
          </cell>
          <cell r="B14">
            <v>0.05</v>
          </cell>
        </row>
        <row r="15">
          <cell r="A15" t="str">
            <v>Betim</v>
          </cell>
          <cell r="B15">
            <v>2.5000000000000001E-2</v>
          </cell>
        </row>
        <row r="16">
          <cell r="A16" t="str">
            <v>Bicas</v>
          </cell>
          <cell r="B16">
            <v>0.02</v>
          </cell>
        </row>
        <row r="17">
          <cell r="A17" t="str">
            <v>Boa Esperança</v>
          </cell>
          <cell r="B17">
            <v>2.8000000000000001E-2</v>
          </cell>
        </row>
        <row r="18">
          <cell r="A18" t="str">
            <v>Caeté</v>
          </cell>
          <cell r="B18">
            <v>0.03</v>
          </cell>
        </row>
        <row r="19">
          <cell r="A19" t="str">
            <v>Campanha</v>
          </cell>
          <cell r="B19">
            <v>0.03</v>
          </cell>
        </row>
        <row r="20">
          <cell r="A20" t="str">
            <v>Campo Belo</v>
          </cell>
          <cell r="B20">
            <v>0.03</v>
          </cell>
        </row>
        <row r="21">
          <cell r="A21" t="str">
            <v>Canápolis</v>
          </cell>
          <cell r="B21">
            <v>0.05</v>
          </cell>
        </row>
        <row r="22">
          <cell r="A22" t="str">
            <v>Capelinha</v>
          </cell>
          <cell r="B22">
            <v>0.03</v>
          </cell>
        </row>
        <row r="23">
          <cell r="A23" t="str">
            <v>Capinópolis</v>
          </cell>
          <cell r="B23">
            <v>0.04</v>
          </cell>
        </row>
        <row r="24">
          <cell r="A24" t="str">
            <v>Carangola</v>
          </cell>
          <cell r="B24">
            <v>0.05</v>
          </cell>
        </row>
        <row r="25">
          <cell r="A25" t="str">
            <v>Caratinga</v>
          </cell>
          <cell r="B25">
            <v>0.03</v>
          </cell>
        </row>
        <row r="26">
          <cell r="A26" t="str">
            <v>Carmo do Paranaíba</v>
          </cell>
          <cell r="B26">
            <v>0.03</v>
          </cell>
        </row>
        <row r="27">
          <cell r="A27" t="str">
            <v>Carmopolis de Minas</v>
          </cell>
          <cell r="B27" t="str">
            <v>-</v>
          </cell>
        </row>
        <row r="28">
          <cell r="A28" t="str">
            <v>Cássia</v>
          </cell>
          <cell r="B28">
            <v>0.03</v>
          </cell>
        </row>
        <row r="29">
          <cell r="A29" t="str">
            <v>Cláudio</v>
          </cell>
          <cell r="B29">
            <v>0.03</v>
          </cell>
        </row>
        <row r="30">
          <cell r="A30" t="str">
            <v>Congonhas</v>
          </cell>
          <cell r="B30">
            <v>0.02</v>
          </cell>
        </row>
        <row r="31">
          <cell r="A31" t="str">
            <v>Conquista</v>
          </cell>
          <cell r="B31">
            <v>0.02</v>
          </cell>
        </row>
        <row r="32">
          <cell r="A32" t="str">
            <v>Conselheiro Lafaiete</v>
          </cell>
          <cell r="B32">
            <v>0.04</v>
          </cell>
        </row>
        <row r="33">
          <cell r="A33" t="str">
            <v>Conselheiro Pena</v>
          </cell>
          <cell r="B33">
            <v>0.03</v>
          </cell>
        </row>
        <row r="34">
          <cell r="A34" t="str">
            <v>Contagem</v>
          </cell>
          <cell r="B34">
            <v>0.03</v>
          </cell>
        </row>
        <row r="35">
          <cell r="A35" t="str">
            <v>Corinto</v>
          </cell>
          <cell r="B35">
            <v>0.03</v>
          </cell>
        </row>
        <row r="36">
          <cell r="A36" t="str">
            <v>Coromandel</v>
          </cell>
          <cell r="B36">
            <v>0.03</v>
          </cell>
        </row>
        <row r="37">
          <cell r="A37" t="str">
            <v>Coronel Fabriciano</v>
          </cell>
          <cell r="B37">
            <v>0.05</v>
          </cell>
        </row>
        <row r="38">
          <cell r="A38" t="str">
            <v>Curvelo</v>
          </cell>
          <cell r="B38">
            <v>0.03</v>
          </cell>
        </row>
        <row r="39">
          <cell r="A39" t="str">
            <v>Diamantina</v>
          </cell>
          <cell r="B39">
            <v>0.05</v>
          </cell>
        </row>
        <row r="40">
          <cell r="A40" t="str">
            <v>Divinópolis</v>
          </cell>
          <cell r="B40">
            <v>0.05</v>
          </cell>
        </row>
        <row r="41">
          <cell r="A41" t="str">
            <v>Dores do Indaiá</v>
          </cell>
          <cell r="B41">
            <v>0.02</v>
          </cell>
        </row>
        <row r="42">
          <cell r="A42" t="str">
            <v>Formiga</v>
          </cell>
          <cell r="B42">
            <v>0.02</v>
          </cell>
        </row>
        <row r="43">
          <cell r="A43" t="str">
            <v>Frutal</v>
          </cell>
          <cell r="B43">
            <v>0.02</v>
          </cell>
        </row>
        <row r="44">
          <cell r="A44" t="str">
            <v>Governador Valadares</v>
          </cell>
          <cell r="B44">
            <v>0.05</v>
          </cell>
        </row>
        <row r="45">
          <cell r="A45" t="str">
            <v>Guanhães</v>
          </cell>
          <cell r="B45">
            <v>3.5000000000000003E-2</v>
          </cell>
        </row>
        <row r="46">
          <cell r="A46" t="str">
            <v>Ibiá</v>
          </cell>
          <cell r="B46">
            <v>0.02</v>
          </cell>
        </row>
        <row r="47">
          <cell r="A47" t="str">
            <v>Ibiraci</v>
          </cell>
          <cell r="B47" t="str">
            <v>-</v>
          </cell>
        </row>
        <row r="48">
          <cell r="A48" t="str">
            <v>Ibirité</v>
          </cell>
          <cell r="B48">
            <v>0.02</v>
          </cell>
        </row>
        <row r="49">
          <cell r="A49" t="str">
            <v>Igarapé</v>
          </cell>
          <cell r="B49">
            <v>0.02</v>
          </cell>
        </row>
        <row r="50">
          <cell r="A50" t="str">
            <v>Ipatinga</v>
          </cell>
          <cell r="B50">
            <v>0.03</v>
          </cell>
        </row>
        <row r="51">
          <cell r="A51" t="str">
            <v>Itabira</v>
          </cell>
          <cell r="B51">
            <v>0.03</v>
          </cell>
        </row>
        <row r="52">
          <cell r="A52" t="str">
            <v>Itabirito</v>
          </cell>
          <cell r="B52">
            <v>0.03</v>
          </cell>
        </row>
        <row r="53">
          <cell r="A53" t="str">
            <v>Itaguara</v>
          </cell>
          <cell r="B53">
            <v>0.02</v>
          </cell>
        </row>
        <row r="54">
          <cell r="A54" t="str">
            <v>Itajubá</v>
          </cell>
          <cell r="B54">
            <v>0.02</v>
          </cell>
        </row>
        <row r="55">
          <cell r="A55" t="str">
            <v>Itambacuri</v>
          </cell>
          <cell r="B55">
            <v>0.03</v>
          </cell>
        </row>
        <row r="56">
          <cell r="A56" t="str">
            <v>Itamonte</v>
          </cell>
          <cell r="B56">
            <v>0.03</v>
          </cell>
        </row>
        <row r="57">
          <cell r="A57" t="str">
            <v>Itanhomi</v>
          </cell>
          <cell r="B57">
            <v>0.04</v>
          </cell>
        </row>
        <row r="58">
          <cell r="A58" t="str">
            <v>Itaúna</v>
          </cell>
          <cell r="B58">
            <v>0.02</v>
          </cell>
        </row>
        <row r="59">
          <cell r="A59" t="str">
            <v>Ituiutaba</v>
          </cell>
          <cell r="B59">
            <v>0.04</v>
          </cell>
        </row>
        <row r="60">
          <cell r="A60" t="str">
            <v>Iturama</v>
          </cell>
          <cell r="B60">
            <v>0.03</v>
          </cell>
        </row>
        <row r="61">
          <cell r="A61" t="str">
            <v>Janaúba</v>
          </cell>
          <cell r="B61">
            <v>0.02</v>
          </cell>
        </row>
        <row r="62">
          <cell r="A62" t="str">
            <v>Januária</v>
          </cell>
          <cell r="B62">
            <v>0.03</v>
          </cell>
        </row>
        <row r="63">
          <cell r="A63" t="str">
            <v>João Pinheiro</v>
          </cell>
          <cell r="B63">
            <v>0.03</v>
          </cell>
        </row>
        <row r="64">
          <cell r="A64" t="str">
            <v>Juiz de Fora</v>
          </cell>
          <cell r="B64">
            <v>0.05</v>
          </cell>
        </row>
        <row r="65">
          <cell r="A65" t="str">
            <v>Lambari</v>
          </cell>
          <cell r="B65" t="str">
            <v>-</v>
          </cell>
        </row>
        <row r="66">
          <cell r="A66" t="str">
            <v>Lavras</v>
          </cell>
          <cell r="B66">
            <v>0.05</v>
          </cell>
        </row>
        <row r="67">
          <cell r="A67" t="str">
            <v>Luz</v>
          </cell>
          <cell r="B67">
            <v>0.03</v>
          </cell>
        </row>
        <row r="68">
          <cell r="A68" t="str">
            <v>Machado</v>
          </cell>
          <cell r="B68">
            <v>0.02</v>
          </cell>
        </row>
        <row r="69">
          <cell r="A69" t="str">
            <v>Malacacheta</v>
          </cell>
          <cell r="B69">
            <v>0.03</v>
          </cell>
        </row>
        <row r="70">
          <cell r="A70" t="str">
            <v>Manga</v>
          </cell>
          <cell r="B70">
            <v>0.02</v>
          </cell>
        </row>
        <row r="71">
          <cell r="A71" t="str">
            <v>Mariana</v>
          </cell>
          <cell r="B71">
            <v>0.03</v>
          </cell>
        </row>
        <row r="72">
          <cell r="A72" t="str">
            <v>Martinho Campos</v>
          </cell>
          <cell r="B72" t="str">
            <v>-</v>
          </cell>
        </row>
        <row r="73">
          <cell r="A73" t="str">
            <v>Mateus Leme</v>
          </cell>
          <cell r="B73">
            <v>0.02</v>
          </cell>
        </row>
        <row r="74">
          <cell r="A74" t="str">
            <v>Matozinhos</v>
          </cell>
          <cell r="B74">
            <v>0.03</v>
          </cell>
        </row>
        <row r="75">
          <cell r="A75" t="str">
            <v>Minas Novas</v>
          </cell>
          <cell r="B75">
            <v>0.03</v>
          </cell>
        </row>
        <row r="76">
          <cell r="A76" t="str">
            <v>Miradouro</v>
          </cell>
          <cell r="B76" t="str">
            <v>-</v>
          </cell>
        </row>
        <row r="77">
          <cell r="A77" t="str">
            <v>Miraí</v>
          </cell>
          <cell r="B77">
            <v>0.03</v>
          </cell>
        </row>
        <row r="78">
          <cell r="A78" t="str">
            <v>Monte Azul</v>
          </cell>
          <cell r="B78">
            <v>0.03</v>
          </cell>
        </row>
        <row r="79">
          <cell r="A79" t="str">
            <v>Monte Carmelo</v>
          </cell>
        </row>
        <row r="80">
          <cell r="A80" t="str">
            <v>Montes Claros</v>
          </cell>
          <cell r="B80">
            <v>0.03</v>
          </cell>
        </row>
        <row r="81">
          <cell r="A81" t="str">
            <v>Morada Nova de Minas</v>
          </cell>
          <cell r="B81">
            <v>0.02</v>
          </cell>
        </row>
        <row r="82">
          <cell r="A82" t="str">
            <v>Muriaé</v>
          </cell>
          <cell r="B82">
            <v>0.03</v>
          </cell>
        </row>
        <row r="83">
          <cell r="A83" t="str">
            <v>Muzambinho</v>
          </cell>
          <cell r="B83">
            <v>0.03</v>
          </cell>
        </row>
        <row r="84">
          <cell r="A84" t="str">
            <v>Nova Era</v>
          </cell>
          <cell r="B84">
            <v>0.03</v>
          </cell>
        </row>
        <row r="85">
          <cell r="A85" t="str">
            <v>Nova Lima</v>
          </cell>
          <cell r="B85">
            <v>0.03</v>
          </cell>
        </row>
        <row r="86">
          <cell r="A86" t="str">
            <v>Nova Ponte</v>
          </cell>
          <cell r="B86">
            <v>0.02</v>
          </cell>
        </row>
        <row r="87">
          <cell r="A87" t="str">
            <v>Nova Serrana</v>
          </cell>
          <cell r="B87">
            <v>0.02</v>
          </cell>
        </row>
        <row r="88">
          <cell r="A88" t="str">
            <v>Oliveira</v>
          </cell>
          <cell r="B88">
            <v>0.03</v>
          </cell>
        </row>
        <row r="89">
          <cell r="A89" t="str">
            <v>Ouro Fino</v>
          </cell>
          <cell r="B89">
            <v>0.02</v>
          </cell>
        </row>
        <row r="90">
          <cell r="A90" t="str">
            <v>Ouro Preto</v>
          </cell>
          <cell r="B90">
            <v>0.03</v>
          </cell>
        </row>
        <row r="91">
          <cell r="A91" t="str">
            <v>Pará de Minas</v>
          </cell>
          <cell r="B91">
            <v>0.03</v>
          </cell>
        </row>
        <row r="92">
          <cell r="A92" t="str">
            <v>Paracatu</v>
          </cell>
          <cell r="B92">
            <v>2.5000000000000001E-2</v>
          </cell>
        </row>
        <row r="93">
          <cell r="A93" t="str">
            <v>Paraopeba</v>
          </cell>
          <cell r="B93">
            <v>0.03</v>
          </cell>
        </row>
        <row r="94">
          <cell r="A94" t="str">
            <v>Passos</v>
          </cell>
          <cell r="B94">
            <v>0.03</v>
          </cell>
        </row>
        <row r="95">
          <cell r="A95" t="str">
            <v>Patos de Minas</v>
          </cell>
          <cell r="B95">
            <v>0.02</v>
          </cell>
        </row>
        <row r="96">
          <cell r="A96" t="str">
            <v>Pedro Leopoldo</v>
          </cell>
          <cell r="B96">
            <v>0.02</v>
          </cell>
        </row>
        <row r="97">
          <cell r="A97" t="str">
            <v>Pirapetinga</v>
          </cell>
          <cell r="B97">
            <v>0.02</v>
          </cell>
        </row>
        <row r="98">
          <cell r="A98" t="str">
            <v>Pirapora</v>
          </cell>
          <cell r="B98">
            <v>0.05</v>
          </cell>
        </row>
        <row r="99">
          <cell r="A99" t="str">
            <v>Pitangui</v>
          </cell>
          <cell r="B99">
            <v>0.02</v>
          </cell>
        </row>
        <row r="100">
          <cell r="A100" t="str">
            <v>Piumhi</v>
          </cell>
          <cell r="B100">
            <v>0.05</v>
          </cell>
        </row>
        <row r="101">
          <cell r="A101" t="str">
            <v>Poço Fundo</v>
          </cell>
          <cell r="B101">
            <v>0.03</v>
          </cell>
        </row>
        <row r="102">
          <cell r="A102" t="str">
            <v>Poços de Caldas</v>
          </cell>
          <cell r="B102">
            <v>0.05</v>
          </cell>
        </row>
        <row r="103">
          <cell r="A103" t="str">
            <v>Pompéu</v>
          </cell>
          <cell r="B103">
            <v>0.02</v>
          </cell>
        </row>
        <row r="104">
          <cell r="A104" t="str">
            <v>Ponte Nova</v>
          </cell>
          <cell r="B104">
            <v>0.03</v>
          </cell>
        </row>
        <row r="105">
          <cell r="A105" t="str">
            <v>Porteirinha</v>
          </cell>
          <cell r="B105">
            <v>0.03</v>
          </cell>
        </row>
        <row r="106">
          <cell r="A106" t="str">
            <v>Pouso Alegre</v>
          </cell>
          <cell r="B106">
            <v>0.02</v>
          </cell>
        </row>
        <row r="107">
          <cell r="A107" t="str">
            <v>Resplendor</v>
          </cell>
          <cell r="B107">
            <v>0.05</v>
          </cell>
        </row>
        <row r="108">
          <cell r="A108" t="str">
            <v>Ribeirão das Neves</v>
          </cell>
          <cell r="B108">
            <v>0.04</v>
          </cell>
        </row>
        <row r="109">
          <cell r="A109" t="str">
            <v>Rio Novo</v>
          </cell>
          <cell r="B109">
            <v>0.05</v>
          </cell>
        </row>
        <row r="110">
          <cell r="A110" t="str">
            <v>Rio Pardo de Minas</v>
          </cell>
          <cell r="B110">
            <v>0.05</v>
          </cell>
        </row>
        <row r="111">
          <cell r="A111" t="str">
            <v>Sabará</v>
          </cell>
          <cell r="B111">
            <v>0.02</v>
          </cell>
        </row>
        <row r="112">
          <cell r="A112" t="str">
            <v>Sacramento</v>
          </cell>
          <cell r="B112">
            <v>0.03</v>
          </cell>
        </row>
        <row r="113">
          <cell r="A113" t="str">
            <v>Salinas</v>
          </cell>
          <cell r="B113">
            <v>0.04</v>
          </cell>
        </row>
        <row r="114">
          <cell r="A114" t="str">
            <v>Santa Luzia</v>
          </cell>
          <cell r="B114">
            <v>0.02</v>
          </cell>
        </row>
        <row r="115">
          <cell r="A115" t="str">
            <v>Santa Maria do Suaçui</v>
          </cell>
          <cell r="B115">
            <v>0.03</v>
          </cell>
        </row>
        <row r="116">
          <cell r="A116" t="str">
            <v>Santa Rita do Sapucaí</v>
          </cell>
          <cell r="B116">
            <v>0.03</v>
          </cell>
        </row>
        <row r="117">
          <cell r="A117" t="str">
            <v>Santa Vitória</v>
          </cell>
          <cell r="B117">
            <v>0.04</v>
          </cell>
        </row>
        <row r="118">
          <cell r="A118" t="str">
            <v>Santo Antônio do Monte</v>
          </cell>
          <cell r="B118">
            <v>0.03</v>
          </cell>
        </row>
        <row r="119">
          <cell r="A119" t="str">
            <v>Santos Dumont</v>
          </cell>
          <cell r="B119">
            <v>0.03</v>
          </cell>
        </row>
        <row r="120">
          <cell r="A120" t="str">
            <v>São Franciso</v>
          </cell>
          <cell r="B120">
            <v>0.02</v>
          </cell>
        </row>
        <row r="121">
          <cell r="A121" t="str">
            <v>São Gonçalo do Sapucaí</v>
          </cell>
          <cell r="B121">
            <v>0.02</v>
          </cell>
        </row>
        <row r="122">
          <cell r="A122" t="str">
            <v>São João da Ponte</v>
          </cell>
          <cell r="B122">
            <v>3.5000000000000003E-2</v>
          </cell>
        </row>
        <row r="123">
          <cell r="A123" t="str">
            <v>São João Del Rey</v>
          </cell>
          <cell r="B123">
            <v>0.02</v>
          </cell>
        </row>
        <row r="124">
          <cell r="A124" t="str">
            <v>São Joaquim de Bicas</v>
          </cell>
          <cell r="B124">
            <v>0.02</v>
          </cell>
        </row>
        <row r="125">
          <cell r="A125" t="str">
            <v>São Lourenço</v>
          </cell>
          <cell r="B125">
            <v>0.03</v>
          </cell>
        </row>
        <row r="126">
          <cell r="A126" t="str">
            <v>São Romão</v>
          </cell>
          <cell r="B126">
            <v>0.03</v>
          </cell>
        </row>
        <row r="127">
          <cell r="A127" t="str">
            <v>São Sebatião do Paraiso</v>
          </cell>
          <cell r="B127">
            <v>0.03</v>
          </cell>
        </row>
        <row r="128">
          <cell r="A128" t="str">
            <v>Sete Lagoas</v>
          </cell>
          <cell r="B128">
            <v>0.03</v>
          </cell>
        </row>
        <row r="129">
          <cell r="A129" t="str">
            <v>Taiobeiras</v>
          </cell>
          <cell r="B129">
            <v>0.03</v>
          </cell>
        </row>
        <row r="130">
          <cell r="A130" t="str">
            <v>Teófilo Otoni</v>
          </cell>
          <cell r="B130">
            <v>0.02</v>
          </cell>
        </row>
        <row r="131">
          <cell r="A131" t="str">
            <v>Timóteo</v>
          </cell>
          <cell r="B131">
            <v>0.03</v>
          </cell>
        </row>
        <row r="132">
          <cell r="A132" t="str">
            <v>Três Corações</v>
          </cell>
          <cell r="B132" t="str">
            <v>-</v>
          </cell>
        </row>
        <row r="133">
          <cell r="A133" t="str">
            <v>Três Pontas</v>
          </cell>
          <cell r="B133">
            <v>2.5000000000000001E-2</v>
          </cell>
        </row>
        <row r="134">
          <cell r="A134" t="str">
            <v>Tupaciguara</v>
          </cell>
          <cell r="B134">
            <v>0.02</v>
          </cell>
        </row>
        <row r="135">
          <cell r="A135" t="str">
            <v>Turmalina</v>
          </cell>
          <cell r="B135">
            <v>0.03</v>
          </cell>
        </row>
        <row r="136">
          <cell r="A136" t="str">
            <v>Ubá</v>
          </cell>
          <cell r="B136">
            <v>0.03</v>
          </cell>
        </row>
        <row r="137">
          <cell r="A137" t="str">
            <v>Uberaba</v>
          </cell>
          <cell r="B137">
            <v>0.03</v>
          </cell>
        </row>
        <row r="138">
          <cell r="A138" t="str">
            <v>Uberlândia</v>
          </cell>
          <cell r="B138">
            <v>0.02</v>
          </cell>
        </row>
        <row r="139">
          <cell r="A139" t="str">
            <v>Varginha</v>
          </cell>
          <cell r="B139">
            <v>0.03</v>
          </cell>
        </row>
        <row r="140">
          <cell r="A140" t="str">
            <v>Vespasiano</v>
          </cell>
          <cell r="B140">
            <v>0.02</v>
          </cell>
        </row>
        <row r="141">
          <cell r="A141" t="str">
            <v>Viçosa</v>
          </cell>
          <cell r="B141">
            <v>0.03</v>
          </cell>
        </row>
      </sheetData>
      <sheetData sheetId="1"/>
      <sheetData sheetId="2"/>
      <sheetData sheetId="3"/>
      <sheetData sheetId="4"/>
      <sheetData sheetId="5">
        <row r="3">
          <cell r="B3" t="str">
            <v>Alto Paranaiba</v>
          </cell>
          <cell r="C3">
            <v>19.440000000000001</v>
          </cell>
          <cell r="D3">
            <v>0</v>
          </cell>
          <cell r="E3">
            <v>0</v>
          </cell>
          <cell r="F3">
            <v>0</v>
          </cell>
          <cell r="G3">
            <v>219.02</v>
          </cell>
          <cell r="H3">
            <v>0</v>
          </cell>
        </row>
        <row r="4">
          <cell r="B4" t="str">
            <v>Araxá</v>
          </cell>
          <cell r="C4">
            <v>33.22</v>
          </cell>
          <cell r="D4">
            <v>0</v>
          </cell>
          <cell r="E4">
            <v>0</v>
          </cell>
          <cell r="F4">
            <v>0</v>
          </cell>
          <cell r="G4">
            <v>14</v>
          </cell>
          <cell r="H4">
            <v>0</v>
          </cell>
        </row>
        <row r="5">
          <cell r="B5" t="str">
            <v>Cataguases</v>
          </cell>
          <cell r="C5">
            <v>32.049999999999997</v>
          </cell>
          <cell r="D5">
            <v>0</v>
          </cell>
          <cell r="E5">
            <v>0</v>
          </cell>
          <cell r="F5">
            <v>0</v>
          </cell>
          <cell r="G5">
            <v>14</v>
          </cell>
          <cell r="H5">
            <v>0</v>
          </cell>
        </row>
        <row r="6">
          <cell r="B6" t="str">
            <v>Curvelo</v>
          </cell>
          <cell r="C6">
            <v>28.19</v>
          </cell>
          <cell r="D6">
            <v>0</v>
          </cell>
          <cell r="E6">
            <v>0</v>
          </cell>
          <cell r="F6">
            <v>0</v>
          </cell>
          <cell r="G6">
            <v>14</v>
          </cell>
          <cell r="H6">
            <v>0</v>
          </cell>
        </row>
        <row r="7">
          <cell r="B7" t="str">
            <v>Divinopolis</v>
          </cell>
          <cell r="C7">
            <v>28.19</v>
          </cell>
          <cell r="D7">
            <v>0</v>
          </cell>
          <cell r="E7">
            <v>0</v>
          </cell>
          <cell r="F7">
            <v>0</v>
          </cell>
          <cell r="G7">
            <v>14</v>
          </cell>
          <cell r="H7">
            <v>0</v>
          </cell>
        </row>
        <row r="8">
          <cell r="B8" t="str">
            <v>Fethemg Interior</v>
          </cell>
          <cell r="C8">
            <v>0</v>
          </cell>
          <cell r="D8">
            <v>8.43</v>
          </cell>
          <cell r="E8">
            <v>0</v>
          </cell>
          <cell r="F8">
            <v>0</v>
          </cell>
          <cell r="G8">
            <v>14</v>
          </cell>
          <cell r="H8">
            <v>0</v>
          </cell>
        </row>
        <row r="9">
          <cell r="B9" t="str">
            <v>Fethemg RM</v>
          </cell>
          <cell r="C9">
            <v>0</v>
          </cell>
          <cell r="D9">
            <v>8.43</v>
          </cell>
          <cell r="E9">
            <v>0</v>
          </cell>
          <cell r="F9">
            <v>0</v>
          </cell>
          <cell r="G9">
            <v>14</v>
          </cell>
          <cell r="H9">
            <v>0</v>
          </cell>
        </row>
        <row r="10">
          <cell r="B10" t="str">
            <v>Gov. Valadares</v>
          </cell>
          <cell r="C10">
            <v>28.19</v>
          </cell>
          <cell r="D10">
            <v>0</v>
          </cell>
          <cell r="E10">
            <v>0</v>
          </cell>
          <cell r="F10">
            <v>0</v>
          </cell>
          <cell r="G10">
            <v>14</v>
          </cell>
          <cell r="H10">
            <v>0</v>
          </cell>
        </row>
        <row r="11">
          <cell r="B11" t="str">
            <v>Itabira</v>
          </cell>
          <cell r="C11">
            <v>28.19</v>
          </cell>
          <cell r="D11">
            <v>0</v>
          </cell>
          <cell r="E11">
            <v>0</v>
          </cell>
          <cell r="F11">
            <v>0</v>
          </cell>
          <cell r="G11">
            <v>14</v>
          </cell>
          <cell r="H11">
            <v>0</v>
          </cell>
        </row>
        <row r="12">
          <cell r="B12" t="str">
            <v>Juiz de Fora</v>
          </cell>
          <cell r="C12">
            <v>17.5</v>
          </cell>
          <cell r="D12">
            <v>8.5</v>
          </cell>
          <cell r="E12">
            <v>0</v>
          </cell>
          <cell r="F12">
            <v>0</v>
          </cell>
          <cell r="G12">
            <v>10</v>
          </cell>
          <cell r="H12">
            <v>0</v>
          </cell>
        </row>
        <row r="13">
          <cell r="B13" t="str">
            <v>Montes Claros</v>
          </cell>
          <cell r="C13">
            <v>28.19</v>
          </cell>
          <cell r="D13">
            <v>0</v>
          </cell>
          <cell r="E13">
            <v>0</v>
          </cell>
          <cell r="F13">
            <v>0</v>
          </cell>
          <cell r="G13">
            <v>14</v>
          </cell>
          <cell r="H13">
            <v>0</v>
          </cell>
        </row>
        <row r="14">
          <cell r="B14" t="str">
            <v>Região de Divinopolis</v>
          </cell>
          <cell r="C14">
            <v>28.19</v>
          </cell>
          <cell r="D14">
            <v>0</v>
          </cell>
          <cell r="E14">
            <v>0</v>
          </cell>
          <cell r="F14">
            <v>0</v>
          </cell>
          <cell r="G14">
            <v>14</v>
          </cell>
          <cell r="H14">
            <v>0</v>
          </cell>
        </row>
        <row r="15">
          <cell r="B15" t="str">
            <v>Região de Juiz de Fora</v>
          </cell>
          <cell r="C15">
            <v>0</v>
          </cell>
          <cell r="D15">
            <v>0</v>
          </cell>
          <cell r="E15">
            <v>0</v>
          </cell>
          <cell r="F15">
            <v>0</v>
          </cell>
          <cell r="G15">
            <v>14</v>
          </cell>
          <cell r="H15">
            <v>0</v>
          </cell>
        </row>
        <row r="16">
          <cell r="B16" t="str">
            <v>Região de Ouro Preto</v>
          </cell>
          <cell r="C16">
            <v>28.19</v>
          </cell>
          <cell r="D16">
            <v>0</v>
          </cell>
          <cell r="E16">
            <v>0</v>
          </cell>
          <cell r="F16">
            <v>0</v>
          </cell>
          <cell r="G16">
            <v>14</v>
          </cell>
          <cell r="H16">
            <v>0</v>
          </cell>
        </row>
        <row r="17">
          <cell r="B17" t="str">
            <v>Região de São Lourenço</v>
          </cell>
          <cell r="C17">
            <v>26.62</v>
          </cell>
          <cell r="D17">
            <v>0</v>
          </cell>
          <cell r="E17">
            <v>0</v>
          </cell>
          <cell r="F17">
            <v>0</v>
          </cell>
          <cell r="G17">
            <v>12.7</v>
          </cell>
          <cell r="H17">
            <v>0</v>
          </cell>
        </row>
        <row r="18">
          <cell r="B18" t="str">
            <v>Região de Teófilo Otoni</v>
          </cell>
          <cell r="C18">
            <v>26.1</v>
          </cell>
          <cell r="D18">
            <v>0</v>
          </cell>
          <cell r="E18">
            <v>0</v>
          </cell>
          <cell r="F18">
            <v>0</v>
          </cell>
          <cell r="G18">
            <v>12.7</v>
          </cell>
          <cell r="H18">
            <v>0</v>
          </cell>
        </row>
        <row r="19">
          <cell r="B19" t="str">
            <v>Região Uberaba</v>
          </cell>
          <cell r="C19">
            <v>28.19</v>
          </cell>
          <cell r="D19">
            <v>0</v>
          </cell>
          <cell r="E19">
            <v>0</v>
          </cell>
          <cell r="F19">
            <v>0</v>
          </cell>
          <cell r="G19">
            <v>14</v>
          </cell>
          <cell r="H19">
            <v>0</v>
          </cell>
        </row>
        <row r="20">
          <cell r="B20" t="str">
            <v>São Lourenço</v>
          </cell>
          <cell r="C20">
            <v>26.62</v>
          </cell>
          <cell r="D20">
            <v>0</v>
          </cell>
          <cell r="E20">
            <v>0</v>
          </cell>
          <cell r="F20">
            <v>0</v>
          </cell>
          <cell r="G20">
            <v>12.7</v>
          </cell>
          <cell r="H20">
            <v>0</v>
          </cell>
        </row>
        <row r="21">
          <cell r="B21" t="str">
            <v>SEAC</v>
          </cell>
          <cell r="C21">
            <v>41.03</v>
          </cell>
          <cell r="D21">
            <v>8.43</v>
          </cell>
          <cell r="E21">
            <v>0</v>
          </cell>
          <cell r="F21">
            <v>0</v>
          </cell>
          <cell r="G21">
            <v>14</v>
          </cell>
          <cell r="H21">
            <v>0</v>
          </cell>
        </row>
        <row r="22">
          <cell r="B22" t="str">
            <v>SECI</v>
          </cell>
          <cell r="C22">
            <v>28.19</v>
          </cell>
          <cell r="D22">
            <v>0</v>
          </cell>
          <cell r="E22">
            <v>0</v>
          </cell>
          <cell r="F22">
            <v>0</v>
          </cell>
          <cell r="G22">
            <v>14</v>
          </cell>
          <cell r="H22">
            <v>0</v>
          </cell>
        </row>
        <row r="23">
          <cell r="B23" t="str">
            <v>Seethur</v>
          </cell>
          <cell r="C23">
            <v>28.19</v>
          </cell>
          <cell r="D23">
            <v>0</v>
          </cell>
          <cell r="E23">
            <v>0</v>
          </cell>
          <cell r="F23">
            <v>0</v>
          </cell>
          <cell r="G23">
            <v>14</v>
          </cell>
          <cell r="H23">
            <v>0</v>
          </cell>
        </row>
        <row r="24">
          <cell r="B24" t="str">
            <v>Sete Lagoas</v>
          </cell>
          <cell r="C24">
            <v>28.19</v>
          </cell>
          <cell r="D24">
            <v>0</v>
          </cell>
          <cell r="E24">
            <v>0</v>
          </cell>
          <cell r="F24">
            <v>0</v>
          </cell>
          <cell r="G24">
            <v>14</v>
          </cell>
          <cell r="H24">
            <v>0</v>
          </cell>
        </row>
        <row r="25">
          <cell r="B25" t="str">
            <v>Sethac Norte de Minas</v>
          </cell>
          <cell r="C25">
            <v>28.19</v>
          </cell>
          <cell r="D25">
            <v>0</v>
          </cell>
          <cell r="E25">
            <v>0</v>
          </cell>
          <cell r="F25">
            <v>0</v>
          </cell>
          <cell r="G25">
            <v>14</v>
          </cell>
          <cell r="H25">
            <v>0</v>
          </cell>
        </row>
        <row r="26">
          <cell r="B26" t="str">
            <v>SETTASPOC</v>
          </cell>
          <cell r="C26">
            <v>15.65</v>
          </cell>
          <cell r="D26">
            <v>0</v>
          </cell>
          <cell r="E26">
            <v>0</v>
          </cell>
          <cell r="F26">
            <v>0</v>
          </cell>
          <cell r="G26">
            <v>14</v>
          </cell>
          <cell r="H26">
            <v>0</v>
          </cell>
        </row>
        <row r="27">
          <cell r="B27" t="str">
            <v>SINDADOS</v>
          </cell>
          <cell r="C27">
            <v>0</v>
          </cell>
          <cell r="D27">
            <v>0</v>
          </cell>
          <cell r="E27">
            <v>0</v>
          </cell>
          <cell r="F27">
            <v>0</v>
          </cell>
          <cell r="G27">
            <v>17</v>
          </cell>
          <cell r="H27">
            <v>0</v>
          </cell>
        </row>
        <row r="28">
          <cell r="B28" t="str">
            <v>Sind - Asseio</v>
          </cell>
          <cell r="C28">
            <v>0</v>
          </cell>
          <cell r="D28">
            <v>8.43</v>
          </cell>
          <cell r="E28">
            <v>41.03</v>
          </cell>
          <cell r="F28">
            <v>0</v>
          </cell>
          <cell r="G28">
            <v>14</v>
          </cell>
          <cell r="H28">
            <v>0</v>
          </cell>
        </row>
        <row r="29">
          <cell r="B29" t="str">
            <v>SINTEL</v>
          </cell>
          <cell r="C29">
            <v>0</v>
          </cell>
          <cell r="D29">
            <v>0</v>
          </cell>
          <cell r="E29">
            <v>0</v>
          </cell>
          <cell r="F29">
            <v>0</v>
          </cell>
          <cell r="G29">
            <v>12.78</v>
          </cell>
          <cell r="H29">
            <v>0</v>
          </cell>
        </row>
        <row r="30">
          <cell r="B30" t="str">
            <v>SINTERT</v>
          </cell>
          <cell r="C30">
            <v>41.03</v>
          </cell>
          <cell r="D30">
            <v>8.43</v>
          </cell>
          <cell r="E30">
            <v>0</v>
          </cell>
          <cell r="F30">
            <v>0</v>
          </cell>
          <cell r="G30">
            <v>14</v>
          </cell>
          <cell r="H30">
            <v>0</v>
          </cell>
        </row>
        <row r="31">
          <cell r="B31" t="str">
            <v>Teófilo Otoni</v>
          </cell>
          <cell r="C31">
            <v>26.1</v>
          </cell>
          <cell r="D31">
            <v>0</v>
          </cell>
          <cell r="E31">
            <v>0</v>
          </cell>
          <cell r="F31">
            <v>0</v>
          </cell>
          <cell r="G31">
            <v>12.7</v>
          </cell>
          <cell r="H31">
            <v>0</v>
          </cell>
        </row>
        <row r="32">
          <cell r="B32" t="str">
            <v>Uberaba</v>
          </cell>
          <cell r="C32">
            <v>28.19</v>
          </cell>
          <cell r="D32">
            <v>0</v>
          </cell>
          <cell r="E32">
            <v>0</v>
          </cell>
          <cell r="F32">
            <v>0</v>
          </cell>
          <cell r="G32">
            <v>14</v>
          </cell>
          <cell r="H32">
            <v>0</v>
          </cell>
        </row>
        <row r="33">
          <cell r="B33" t="str">
            <v>Uberlândia</v>
          </cell>
          <cell r="C33">
            <v>19.440000000000001</v>
          </cell>
          <cell r="D33">
            <v>0</v>
          </cell>
          <cell r="E33">
            <v>0</v>
          </cell>
          <cell r="F33">
            <v>0</v>
          </cell>
          <cell r="G33">
            <v>219.02</v>
          </cell>
          <cell r="H33">
            <v>0</v>
          </cell>
        </row>
        <row r="34">
          <cell r="B34" t="str">
            <v>Vespasiano</v>
          </cell>
          <cell r="C34">
            <v>0</v>
          </cell>
          <cell r="D34">
            <v>0</v>
          </cell>
          <cell r="E34">
            <v>0</v>
          </cell>
          <cell r="F34">
            <v>0</v>
          </cell>
          <cell r="G34">
            <v>14</v>
          </cell>
          <cell r="H34">
            <v>0</v>
          </cell>
        </row>
        <row r="35">
          <cell r="B35" t="str">
            <v>CCT Rodoviários de Belo Horizonte e RMBH + SEAC-MG</v>
          </cell>
          <cell r="C35">
            <v>0</v>
          </cell>
          <cell r="D35">
            <v>0</v>
          </cell>
          <cell r="E35">
            <v>0</v>
          </cell>
          <cell r="F35">
            <v>0</v>
          </cell>
          <cell r="G35">
            <v>14</v>
          </cell>
          <cell r="H35">
            <v>0</v>
          </cell>
        </row>
        <row r="36">
          <cell r="B36" t="str">
            <v>FETTROMINAS + SEAC-MG</v>
          </cell>
          <cell r="C36">
            <v>0</v>
          </cell>
          <cell r="D36">
            <v>0</v>
          </cell>
          <cell r="E36">
            <v>0</v>
          </cell>
          <cell r="F36">
            <v>0</v>
          </cell>
          <cell r="G36">
            <v>12.7</v>
          </cell>
          <cell r="H36">
            <v>0</v>
          </cell>
        </row>
        <row r="37">
          <cell r="B37" t="str">
            <v>Rodoviário de Lavras + SEAC-MG</v>
          </cell>
          <cell r="C37">
            <v>0</v>
          </cell>
          <cell r="D37">
            <v>0</v>
          </cell>
          <cell r="E37">
            <v>0</v>
          </cell>
          <cell r="F37">
            <v>0</v>
          </cell>
          <cell r="G37">
            <v>14</v>
          </cell>
          <cell r="H37">
            <v>0</v>
          </cell>
        </row>
        <row r="38">
          <cell r="B38" t="str">
            <v>Rodoviários de Babacena + SEAC-MG</v>
          </cell>
          <cell r="C38">
            <v>0</v>
          </cell>
          <cell r="D38">
            <v>0</v>
          </cell>
          <cell r="E38">
            <v>0</v>
          </cell>
          <cell r="F38">
            <v>0</v>
          </cell>
          <cell r="G38">
            <v>14</v>
          </cell>
          <cell r="H38">
            <v>0</v>
          </cell>
        </row>
        <row r="39">
          <cell r="B39" t="str">
            <v>Rodoviários de Belo Horizonte + SEAC-MG</v>
          </cell>
          <cell r="C39">
            <v>0</v>
          </cell>
          <cell r="D39">
            <v>0</v>
          </cell>
          <cell r="E39">
            <v>0</v>
          </cell>
          <cell r="F39">
            <v>0</v>
          </cell>
          <cell r="G39">
            <v>14</v>
          </cell>
          <cell r="H39">
            <v>0</v>
          </cell>
        </row>
        <row r="40">
          <cell r="B40" t="str">
            <v>Rodoviários de Betim + SEAC-MG</v>
          </cell>
          <cell r="C40">
            <v>0</v>
          </cell>
          <cell r="D40">
            <v>0</v>
          </cell>
          <cell r="E40">
            <v>0</v>
          </cell>
          <cell r="F40">
            <v>0</v>
          </cell>
          <cell r="G40">
            <v>14</v>
          </cell>
          <cell r="H40">
            <v>0</v>
          </cell>
        </row>
        <row r="41">
          <cell r="B41" t="str">
            <v>Rodoviários de Caratinga + SEAC-MG</v>
          </cell>
          <cell r="C41">
            <v>0</v>
          </cell>
          <cell r="D41">
            <v>0</v>
          </cell>
          <cell r="E41">
            <v>0</v>
          </cell>
          <cell r="F41">
            <v>0</v>
          </cell>
          <cell r="G41">
            <v>12.7</v>
          </cell>
          <cell r="H41">
            <v>0</v>
          </cell>
        </row>
        <row r="42">
          <cell r="B42" t="str">
            <v>Rodoviários de Conselheiro Lafaiete + SEAC-MG</v>
          </cell>
          <cell r="C42">
            <v>0</v>
          </cell>
          <cell r="D42">
            <v>0</v>
          </cell>
          <cell r="E42">
            <v>0</v>
          </cell>
          <cell r="F42">
            <v>0</v>
          </cell>
          <cell r="G42">
            <v>12.7</v>
          </cell>
          <cell r="H42">
            <v>0</v>
          </cell>
        </row>
        <row r="43">
          <cell r="B43" t="str">
            <v>Rodoviários de Contagem + SEAC-MG</v>
          </cell>
          <cell r="C43">
            <v>0</v>
          </cell>
          <cell r="D43">
            <v>0</v>
          </cell>
          <cell r="E43">
            <v>0</v>
          </cell>
          <cell r="F43">
            <v>0</v>
          </cell>
          <cell r="G43">
            <v>14</v>
          </cell>
          <cell r="H43">
            <v>0</v>
          </cell>
        </row>
        <row r="44">
          <cell r="B44" t="str">
            <v>Rodoviários de Divinópolis + SEAC-MG</v>
          </cell>
          <cell r="C44">
            <v>0</v>
          </cell>
          <cell r="D44">
            <v>0</v>
          </cell>
          <cell r="E44">
            <v>0</v>
          </cell>
          <cell r="F44">
            <v>0</v>
          </cell>
          <cell r="G44">
            <v>14</v>
          </cell>
          <cell r="H44">
            <v>0</v>
          </cell>
        </row>
        <row r="45">
          <cell r="B45" t="str">
            <v>Rodoviários de Governador Valadares + SEAC-MG</v>
          </cell>
          <cell r="C45">
            <v>0</v>
          </cell>
          <cell r="D45">
            <v>0</v>
          </cell>
          <cell r="E45">
            <v>0</v>
          </cell>
          <cell r="F45">
            <v>0</v>
          </cell>
          <cell r="G45">
            <v>14</v>
          </cell>
          <cell r="H45">
            <v>0</v>
          </cell>
        </row>
        <row r="46">
          <cell r="B46" t="str">
            <v>Rodoviários de Ituiutaba + SEAC-MG</v>
          </cell>
          <cell r="C46">
            <v>0</v>
          </cell>
          <cell r="D46">
            <v>0</v>
          </cell>
          <cell r="E46">
            <v>0</v>
          </cell>
          <cell r="F46">
            <v>0</v>
          </cell>
          <cell r="G46">
            <v>14</v>
          </cell>
          <cell r="H46">
            <v>0</v>
          </cell>
        </row>
        <row r="47">
          <cell r="B47" t="str">
            <v>Rodoviários de Juiz de Fora + SEAC-MG</v>
          </cell>
          <cell r="C47">
            <v>0</v>
          </cell>
          <cell r="D47">
            <v>0</v>
          </cell>
          <cell r="E47">
            <v>0</v>
          </cell>
          <cell r="F47">
            <v>0</v>
          </cell>
          <cell r="G47">
            <v>14</v>
          </cell>
          <cell r="H47">
            <v>0</v>
          </cell>
        </row>
        <row r="48">
          <cell r="B48" t="str">
            <v>Rodoviários de Juiz de Fora + SIEPS</v>
          </cell>
          <cell r="C48">
            <v>0</v>
          </cell>
          <cell r="D48">
            <v>0</v>
          </cell>
          <cell r="E48">
            <v>0</v>
          </cell>
          <cell r="F48">
            <v>0</v>
          </cell>
          <cell r="G48">
            <v>10.1</v>
          </cell>
          <cell r="H48">
            <v>0</v>
          </cell>
        </row>
        <row r="49">
          <cell r="B49" t="str">
            <v>Rodoviários de Montes Claros + SEAC-MG</v>
          </cell>
          <cell r="C49">
            <v>0</v>
          </cell>
          <cell r="D49">
            <v>0</v>
          </cell>
          <cell r="E49">
            <v>0</v>
          </cell>
          <cell r="F49">
            <v>0</v>
          </cell>
          <cell r="G49">
            <v>14</v>
          </cell>
          <cell r="H49">
            <v>0</v>
          </cell>
        </row>
        <row r="50">
          <cell r="B50" t="str">
            <v>Rodoviários de Passos + SEAC-MG</v>
          </cell>
          <cell r="C50">
            <v>0</v>
          </cell>
          <cell r="D50">
            <v>0</v>
          </cell>
          <cell r="E50">
            <v>0</v>
          </cell>
          <cell r="F50">
            <v>0</v>
          </cell>
          <cell r="G50">
            <v>14</v>
          </cell>
          <cell r="H50">
            <v>0</v>
          </cell>
        </row>
        <row r="51">
          <cell r="B51" t="str">
            <v>Rodoviários de Patos de Minas + SEAC-MG</v>
          </cell>
          <cell r="C51">
            <v>0</v>
          </cell>
          <cell r="D51">
            <v>0</v>
          </cell>
          <cell r="E51">
            <v>0</v>
          </cell>
          <cell r="F51">
            <v>0</v>
          </cell>
          <cell r="G51">
            <v>14</v>
          </cell>
          <cell r="H51">
            <v>0</v>
          </cell>
        </row>
        <row r="52">
          <cell r="B52" t="str">
            <v>Rodoviários de Poços de Caldas + SEAC-MG</v>
          </cell>
          <cell r="C52">
            <v>0</v>
          </cell>
          <cell r="D52">
            <v>0</v>
          </cell>
          <cell r="E52">
            <v>0</v>
          </cell>
          <cell r="F52">
            <v>0</v>
          </cell>
          <cell r="G52">
            <v>12.7</v>
          </cell>
          <cell r="H52">
            <v>0</v>
          </cell>
        </row>
        <row r="53">
          <cell r="B53" t="str">
            <v>Rodoviários de Pouso Alegre + SEAC-MG</v>
          </cell>
          <cell r="C53">
            <v>0</v>
          </cell>
          <cell r="D53">
            <v>0</v>
          </cell>
          <cell r="E53">
            <v>0</v>
          </cell>
          <cell r="F53">
            <v>0</v>
          </cell>
          <cell r="G53">
            <v>12.7</v>
          </cell>
          <cell r="H53">
            <v>0</v>
          </cell>
        </row>
        <row r="54">
          <cell r="B54" t="str">
            <v>Rodoviários de São João Del Rei + SEAC-MG</v>
          </cell>
          <cell r="C54">
            <v>0</v>
          </cell>
          <cell r="D54">
            <v>0</v>
          </cell>
          <cell r="E54">
            <v>0</v>
          </cell>
          <cell r="F54">
            <v>0</v>
          </cell>
          <cell r="G54">
            <v>9.8000000000000007</v>
          </cell>
          <cell r="H54">
            <v>0</v>
          </cell>
        </row>
        <row r="55">
          <cell r="B55" t="str">
            <v>Rodoviários de Sete Lagoas + SEAC-MG</v>
          </cell>
          <cell r="C55">
            <v>0</v>
          </cell>
          <cell r="D55">
            <v>0</v>
          </cell>
          <cell r="E55">
            <v>0</v>
          </cell>
          <cell r="F55">
            <v>0</v>
          </cell>
          <cell r="G55">
            <v>14</v>
          </cell>
          <cell r="H55">
            <v>0</v>
          </cell>
        </row>
        <row r="56">
          <cell r="B56" t="str">
            <v>Rodoviários de Teófilo Otoni + SEAC-MG</v>
          </cell>
          <cell r="C56">
            <v>0</v>
          </cell>
          <cell r="D56">
            <v>0</v>
          </cell>
          <cell r="E56">
            <v>0</v>
          </cell>
          <cell r="F56">
            <v>0</v>
          </cell>
          <cell r="G56">
            <v>9.8000000000000007</v>
          </cell>
          <cell r="H56">
            <v>0</v>
          </cell>
        </row>
        <row r="57">
          <cell r="B57" t="str">
            <v>Rodoviários de Uberaba + SEAC-MG</v>
          </cell>
          <cell r="C57">
            <v>0</v>
          </cell>
          <cell r="D57">
            <v>0</v>
          </cell>
          <cell r="E57">
            <v>0</v>
          </cell>
          <cell r="F57">
            <v>0</v>
          </cell>
          <cell r="G57">
            <v>9.8000000000000007</v>
          </cell>
          <cell r="H57">
            <v>0</v>
          </cell>
        </row>
        <row r="58">
          <cell r="B58" t="str">
            <v>Rodoviários de Uberlândia + SEAC-MG</v>
          </cell>
          <cell r="C58">
            <v>0</v>
          </cell>
          <cell r="D58">
            <v>0</v>
          </cell>
          <cell r="E58">
            <v>0</v>
          </cell>
          <cell r="F58">
            <v>0</v>
          </cell>
          <cell r="G58">
            <v>14</v>
          </cell>
          <cell r="H58">
            <v>0</v>
          </cell>
        </row>
        <row r="62">
          <cell r="B62" t="str">
            <v>Alfenas</v>
          </cell>
          <cell r="C62">
            <v>3.1</v>
          </cell>
          <cell r="D62">
            <v>1.1000000000000001</v>
          </cell>
          <cell r="E62">
            <v>4.2</v>
          </cell>
        </row>
        <row r="63">
          <cell r="B63" t="str">
            <v>Almenara</v>
          </cell>
          <cell r="C63">
            <v>3.1</v>
          </cell>
          <cell r="D63">
            <v>1.1000000000000001</v>
          </cell>
          <cell r="E63">
            <v>4.2</v>
          </cell>
        </row>
        <row r="64">
          <cell r="B64" t="str">
            <v>Araçuaí</v>
          </cell>
          <cell r="C64">
            <v>3.1</v>
          </cell>
          <cell r="D64">
            <v>1.1000000000000001</v>
          </cell>
          <cell r="E64">
            <v>4.2</v>
          </cell>
        </row>
        <row r="65">
          <cell r="B65" t="str">
            <v>Araguari</v>
          </cell>
          <cell r="C65">
            <v>3.1</v>
          </cell>
          <cell r="D65">
            <v>1.1000000000000001</v>
          </cell>
          <cell r="E65">
            <v>4.2</v>
          </cell>
        </row>
        <row r="66">
          <cell r="B66" t="str">
            <v>Araxá</v>
          </cell>
          <cell r="C66">
            <v>3.1</v>
          </cell>
          <cell r="D66">
            <v>1.1000000000000001</v>
          </cell>
          <cell r="E66">
            <v>4.2</v>
          </cell>
        </row>
        <row r="67">
          <cell r="B67" t="str">
            <v>Arcos</v>
          </cell>
          <cell r="C67">
            <v>3.1</v>
          </cell>
          <cell r="D67">
            <v>1.1000000000000001</v>
          </cell>
          <cell r="E67">
            <v>4.2</v>
          </cell>
        </row>
        <row r="68">
          <cell r="B68" t="str">
            <v>Arinos</v>
          </cell>
          <cell r="C68">
            <v>3.1</v>
          </cell>
          <cell r="D68">
            <v>1.1000000000000001</v>
          </cell>
          <cell r="E68">
            <v>4.2</v>
          </cell>
        </row>
        <row r="69">
          <cell r="B69" t="str">
            <v>Barbacena</v>
          </cell>
          <cell r="C69">
            <v>3.1</v>
          </cell>
          <cell r="D69">
            <v>1.1000000000000001</v>
          </cell>
          <cell r="E69">
            <v>4.2</v>
          </cell>
        </row>
        <row r="70">
          <cell r="B70" t="str">
            <v>Belo Horizonte</v>
          </cell>
          <cell r="C70">
            <v>3.1</v>
          </cell>
          <cell r="D70">
            <v>1.1000000000000001</v>
          </cell>
          <cell r="E70">
            <v>4.2</v>
          </cell>
        </row>
        <row r="71">
          <cell r="B71" t="str">
            <v>Betim</v>
          </cell>
          <cell r="C71">
            <v>3.1</v>
          </cell>
          <cell r="D71">
            <v>1.1000000000000001</v>
          </cell>
          <cell r="E71">
            <v>4.2</v>
          </cell>
        </row>
        <row r="72">
          <cell r="B72" t="str">
            <v>Caeté</v>
          </cell>
          <cell r="C72">
            <v>3.1</v>
          </cell>
          <cell r="D72">
            <v>1.1000000000000001</v>
          </cell>
          <cell r="E72">
            <v>4.2</v>
          </cell>
        </row>
        <row r="73">
          <cell r="B73" t="str">
            <v>Campo Belo</v>
          </cell>
          <cell r="C73">
            <v>3.1</v>
          </cell>
          <cell r="D73">
            <v>1.1000000000000001</v>
          </cell>
          <cell r="E73">
            <v>4.2</v>
          </cell>
        </row>
        <row r="74">
          <cell r="B74" t="str">
            <v>Canápolis</v>
          </cell>
          <cell r="C74">
            <v>3.1</v>
          </cell>
          <cell r="D74">
            <v>1.1000000000000001</v>
          </cell>
          <cell r="E74">
            <v>4.2</v>
          </cell>
        </row>
        <row r="75">
          <cell r="B75" t="str">
            <v>Capinópolis</v>
          </cell>
          <cell r="C75">
            <v>3.1</v>
          </cell>
          <cell r="D75">
            <v>1.1000000000000001</v>
          </cell>
          <cell r="E75">
            <v>4.2</v>
          </cell>
        </row>
        <row r="76">
          <cell r="B76" t="str">
            <v>Carangola</v>
          </cell>
          <cell r="C76">
            <v>3.1</v>
          </cell>
          <cell r="D76">
            <v>1.1000000000000001</v>
          </cell>
          <cell r="E76">
            <v>4.2</v>
          </cell>
        </row>
        <row r="77">
          <cell r="B77" t="str">
            <v>Caratinga</v>
          </cell>
          <cell r="C77">
            <v>3.1</v>
          </cell>
          <cell r="D77">
            <v>1.1000000000000001</v>
          </cell>
          <cell r="E77">
            <v>4.2</v>
          </cell>
        </row>
        <row r="78">
          <cell r="B78" t="str">
            <v>Congonhas</v>
          </cell>
          <cell r="C78">
            <v>3.1</v>
          </cell>
          <cell r="D78">
            <v>1.1000000000000001</v>
          </cell>
          <cell r="E78">
            <v>4.2</v>
          </cell>
        </row>
        <row r="79">
          <cell r="B79" t="str">
            <v>Conquista</v>
          </cell>
          <cell r="C79">
            <v>3.1</v>
          </cell>
          <cell r="D79">
            <v>1.1000000000000001</v>
          </cell>
          <cell r="E79">
            <v>4.2</v>
          </cell>
        </row>
        <row r="80">
          <cell r="B80" t="str">
            <v>Conselheiro Lafaiete</v>
          </cell>
          <cell r="C80">
            <v>3.1</v>
          </cell>
          <cell r="D80">
            <v>1.1000000000000001</v>
          </cell>
          <cell r="E80">
            <v>4.2</v>
          </cell>
        </row>
        <row r="81">
          <cell r="B81" t="str">
            <v>Conselheiro Pena</v>
          </cell>
          <cell r="C81">
            <v>3.1</v>
          </cell>
          <cell r="D81">
            <v>1.1000000000000001</v>
          </cell>
          <cell r="E81">
            <v>4.2</v>
          </cell>
        </row>
        <row r="82">
          <cell r="B82" t="str">
            <v>Contagem</v>
          </cell>
          <cell r="C82">
            <v>3.1</v>
          </cell>
          <cell r="D82">
            <v>1.1000000000000001</v>
          </cell>
          <cell r="E82">
            <v>4.2</v>
          </cell>
        </row>
        <row r="83">
          <cell r="B83" t="str">
            <v>Contagem.</v>
          </cell>
          <cell r="C83">
            <v>3.1</v>
          </cell>
          <cell r="D83">
            <v>1.1000000000000001</v>
          </cell>
          <cell r="E83">
            <v>4.2</v>
          </cell>
        </row>
        <row r="84">
          <cell r="B84" t="str">
            <v>Diamantina</v>
          </cell>
          <cell r="C84">
            <v>3.1</v>
          </cell>
          <cell r="D84">
            <v>1.1000000000000001</v>
          </cell>
          <cell r="E84">
            <v>4.2</v>
          </cell>
        </row>
        <row r="85">
          <cell r="B85" t="str">
            <v>Divinópolis</v>
          </cell>
          <cell r="C85">
            <v>3.1</v>
          </cell>
          <cell r="D85">
            <v>1.1000000000000001</v>
          </cell>
          <cell r="E85">
            <v>4.2</v>
          </cell>
        </row>
        <row r="86">
          <cell r="B86" t="str">
            <v>Formiga</v>
          </cell>
          <cell r="C86">
            <v>3.1</v>
          </cell>
          <cell r="D86">
            <v>1.1000000000000001</v>
          </cell>
          <cell r="E86">
            <v>4.2</v>
          </cell>
        </row>
        <row r="87">
          <cell r="B87" t="str">
            <v>Governador Valadares</v>
          </cell>
          <cell r="C87">
            <v>3.1</v>
          </cell>
          <cell r="D87">
            <v>1.1000000000000001</v>
          </cell>
          <cell r="E87">
            <v>4.2</v>
          </cell>
        </row>
        <row r="88">
          <cell r="B88" t="str">
            <v>Ibiá</v>
          </cell>
          <cell r="C88">
            <v>3.1</v>
          </cell>
          <cell r="D88">
            <v>1.1000000000000001</v>
          </cell>
          <cell r="E88">
            <v>4.2</v>
          </cell>
        </row>
        <row r="89">
          <cell r="B89" t="str">
            <v>Ibirité</v>
          </cell>
          <cell r="C89">
            <v>3.1</v>
          </cell>
          <cell r="D89">
            <v>1.1000000000000001</v>
          </cell>
          <cell r="E89">
            <v>4.2</v>
          </cell>
        </row>
        <row r="90">
          <cell r="B90" t="str">
            <v>Ipatinga</v>
          </cell>
          <cell r="C90">
            <v>3.1</v>
          </cell>
          <cell r="D90">
            <v>1.1000000000000001</v>
          </cell>
          <cell r="E90">
            <v>4.2</v>
          </cell>
        </row>
        <row r="91">
          <cell r="B91" t="str">
            <v>Itabira</v>
          </cell>
          <cell r="C91">
            <v>3.1</v>
          </cell>
          <cell r="D91">
            <v>1.1000000000000001</v>
          </cell>
          <cell r="E91">
            <v>4.2</v>
          </cell>
        </row>
        <row r="92">
          <cell r="B92" t="str">
            <v>Itajubá</v>
          </cell>
          <cell r="C92">
            <v>3.1</v>
          </cell>
          <cell r="D92">
            <v>1.1000000000000001</v>
          </cell>
          <cell r="E92">
            <v>4.2</v>
          </cell>
        </row>
        <row r="93">
          <cell r="B93" t="str">
            <v>Itambacuri</v>
          </cell>
          <cell r="C93">
            <v>3.1</v>
          </cell>
          <cell r="D93">
            <v>1.1000000000000001</v>
          </cell>
          <cell r="E93">
            <v>4.2</v>
          </cell>
        </row>
        <row r="94">
          <cell r="B94" t="str">
            <v>Itamonte</v>
          </cell>
          <cell r="C94">
            <v>3.1</v>
          </cell>
          <cell r="D94">
            <v>1.1000000000000001</v>
          </cell>
          <cell r="E94">
            <v>4.2</v>
          </cell>
        </row>
        <row r="95">
          <cell r="B95" t="str">
            <v>Itaúna</v>
          </cell>
          <cell r="C95">
            <v>3.1</v>
          </cell>
          <cell r="D95">
            <v>1.1000000000000001</v>
          </cell>
          <cell r="E95">
            <v>4.2</v>
          </cell>
        </row>
        <row r="96">
          <cell r="B96" t="str">
            <v>Ituiutaba</v>
          </cell>
          <cell r="C96">
            <v>3.1</v>
          </cell>
          <cell r="D96">
            <v>1.1000000000000001</v>
          </cell>
          <cell r="E96">
            <v>4.2</v>
          </cell>
        </row>
        <row r="97">
          <cell r="B97" t="str">
            <v>Janaúba</v>
          </cell>
          <cell r="C97">
            <v>3.1</v>
          </cell>
          <cell r="D97">
            <v>1.1000000000000001</v>
          </cell>
          <cell r="E97">
            <v>4.2</v>
          </cell>
        </row>
        <row r="98">
          <cell r="B98" t="str">
            <v>Januária</v>
          </cell>
          <cell r="C98">
            <v>3.1</v>
          </cell>
          <cell r="D98">
            <v>1.1000000000000001</v>
          </cell>
          <cell r="E98">
            <v>4.2</v>
          </cell>
        </row>
        <row r="99">
          <cell r="B99" t="str">
            <v>Juiz de Fora</v>
          </cell>
          <cell r="C99">
            <v>3.1</v>
          </cell>
          <cell r="D99">
            <v>1.1000000000000001</v>
          </cell>
          <cell r="E99">
            <v>4.2</v>
          </cell>
        </row>
        <row r="100">
          <cell r="B100" t="str">
            <v>Lavras</v>
          </cell>
          <cell r="C100">
            <v>3.1</v>
          </cell>
          <cell r="D100">
            <v>1.1000000000000001</v>
          </cell>
          <cell r="E100">
            <v>4.2</v>
          </cell>
        </row>
        <row r="101">
          <cell r="B101" t="str">
            <v>Machado</v>
          </cell>
          <cell r="C101">
            <v>3.1</v>
          </cell>
          <cell r="D101">
            <v>1.1000000000000001</v>
          </cell>
          <cell r="E101">
            <v>4.2</v>
          </cell>
        </row>
        <row r="102">
          <cell r="B102" t="str">
            <v>Machado.</v>
          </cell>
          <cell r="C102">
            <v>3.1</v>
          </cell>
          <cell r="D102">
            <v>1.1000000000000001</v>
          </cell>
          <cell r="E102">
            <v>4.2</v>
          </cell>
        </row>
        <row r="103">
          <cell r="B103" t="str">
            <v>Manga</v>
          </cell>
          <cell r="C103">
            <v>3.1</v>
          </cell>
          <cell r="D103">
            <v>1.1000000000000001</v>
          </cell>
          <cell r="E103">
            <v>4.2</v>
          </cell>
        </row>
        <row r="104">
          <cell r="B104" t="str">
            <v>Miraí</v>
          </cell>
          <cell r="C104">
            <v>3.1</v>
          </cell>
          <cell r="D104">
            <v>1.1000000000000001</v>
          </cell>
          <cell r="E104">
            <v>4.2</v>
          </cell>
        </row>
        <row r="105">
          <cell r="B105" t="str">
            <v>Montes Claros</v>
          </cell>
          <cell r="C105">
            <v>3.1</v>
          </cell>
          <cell r="D105">
            <v>1.1000000000000001</v>
          </cell>
          <cell r="E105">
            <v>4.2</v>
          </cell>
        </row>
        <row r="106">
          <cell r="B106" t="str">
            <v>Morada Nova de Minas</v>
          </cell>
          <cell r="C106">
            <v>3.1</v>
          </cell>
          <cell r="D106">
            <v>1.1000000000000001</v>
          </cell>
          <cell r="E106">
            <v>4.2</v>
          </cell>
        </row>
        <row r="107">
          <cell r="B107" t="str">
            <v>Muriaé</v>
          </cell>
          <cell r="C107">
            <v>3.1</v>
          </cell>
          <cell r="D107">
            <v>1.1000000000000001</v>
          </cell>
          <cell r="E107">
            <v>4.2</v>
          </cell>
        </row>
        <row r="108">
          <cell r="B108" t="str">
            <v>Nova Lima</v>
          </cell>
          <cell r="C108">
            <v>3.1</v>
          </cell>
          <cell r="D108">
            <v>1.1000000000000001</v>
          </cell>
          <cell r="E108">
            <v>4.2</v>
          </cell>
        </row>
        <row r="109">
          <cell r="B109" t="str">
            <v>Nova Lima.</v>
          </cell>
          <cell r="C109">
            <v>3.1</v>
          </cell>
          <cell r="D109">
            <v>1.1000000000000001</v>
          </cell>
          <cell r="E109">
            <v>4.2</v>
          </cell>
        </row>
        <row r="110">
          <cell r="B110" t="str">
            <v>Nova Ponte</v>
          </cell>
          <cell r="C110">
            <v>3.1</v>
          </cell>
          <cell r="D110">
            <v>1.1000000000000001</v>
          </cell>
          <cell r="E110">
            <v>4.2</v>
          </cell>
        </row>
        <row r="111">
          <cell r="B111" t="str">
            <v>Nova Serrana</v>
          </cell>
          <cell r="C111">
            <v>3.1</v>
          </cell>
          <cell r="D111">
            <v>1.1000000000000001</v>
          </cell>
          <cell r="E111">
            <v>4.2</v>
          </cell>
        </row>
        <row r="112">
          <cell r="B112" t="str">
            <v>Oliveira</v>
          </cell>
          <cell r="C112">
            <v>3.1</v>
          </cell>
          <cell r="D112">
            <v>1.1000000000000001</v>
          </cell>
          <cell r="E112">
            <v>4.2</v>
          </cell>
        </row>
        <row r="113">
          <cell r="B113" t="str">
            <v>Ouro Preto</v>
          </cell>
          <cell r="C113">
            <v>3.1</v>
          </cell>
          <cell r="D113">
            <v>1.1000000000000001</v>
          </cell>
          <cell r="E113">
            <v>4.2</v>
          </cell>
        </row>
        <row r="114">
          <cell r="B114" t="str">
            <v>Passos</v>
          </cell>
          <cell r="C114">
            <v>3.1</v>
          </cell>
          <cell r="D114">
            <v>1.1000000000000001</v>
          </cell>
          <cell r="E114">
            <v>4.2</v>
          </cell>
        </row>
        <row r="115">
          <cell r="B115" t="str">
            <v>Patos de Minas</v>
          </cell>
          <cell r="C115">
            <v>3.1</v>
          </cell>
          <cell r="D115">
            <v>1.1000000000000001</v>
          </cell>
          <cell r="E115">
            <v>4.2</v>
          </cell>
        </row>
        <row r="116">
          <cell r="B116" t="str">
            <v>Pedro Leopoldo</v>
          </cell>
          <cell r="C116">
            <v>3.1</v>
          </cell>
          <cell r="D116">
            <v>1.1000000000000001</v>
          </cell>
          <cell r="E116">
            <v>4.2</v>
          </cell>
        </row>
        <row r="117">
          <cell r="B117" t="str">
            <v>Pirapetinga</v>
          </cell>
          <cell r="C117">
            <v>3.1</v>
          </cell>
          <cell r="D117">
            <v>1.1000000000000001</v>
          </cell>
          <cell r="E117">
            <v>4.2</v>
          </cell>
        </row>
        <row r="118">
          <cell r="B118" t="str">
            <v>Pitangui</v>
          </cell>
          <cell r="C118">
            <v>3.1</v>
          </cell>
          <cell r="D118">
            <v>1.1000000000000001</v>
          </cell>
          <cell r="E118">
            <v>4.2</v>
          </cell>
        </row>
        <row r="119">
          <cell r="B119" t="str">
            <v>Poços de Caldas</v>
          </cell>
          <cell r="C119">
            <v>3.1</v>
          </cell>
          <cell r="D119">
            <v>1.1000000000000001</v>
          </cell>
          <cell r="E119">
            <v>4.2</v>
          </cell>
        </row>
        <row r="120">
          <cell r="B120" t="str">
            <v>Ponte Nova</v>
          </cell>
          <cell r="C120">
            <v>3.1</v>
          </cell>
          <cell r="D120">
            <v>1.1000000000000001</v>
          </cell>
          <cell r="E120">
            <v>4.2</v>
          </cell>
        </row>
        <row r="121">
          <cell r="B121" t="str">
            <v>Pouso Alegre</v>
          </cell>
          <cell r="C121">
            <v>3.1</v>
          </cell>
          <cell r="D121">
            <v>1.1000000000000001</v>
          </cell>
          <cell r="E121">
            <v>4.2</v>
          </cell>
        </row>
        <row r="122">
          <cell r="B122" t="str">
            <v>Ribeirão das Neves</v>
          </cell>
          <cell r="C122">
            <v>3.1</v>
          </cell>
          <cell r="D122">
            <v>1.1000000000000001</v>
          </cell>
          <cell r="E122">
            <v>4.2</v>
          </cell>
        </row>
        <row r="123">
          <cell r="B123" t="str">
            <v>Sabará</v>
          </cell>
          <cell r="C123">
            <v>3.1</v>
          </cell>
          <cell r="D123">
            <v>1.1000000000000001</v>
          </cell>
          <cell r="E123">
            <v>4.2</v>
          </cell>
        </row>
        <row r="124">
          <cell r="B124" t="str">
            <v>Santa Luzia</v>
          </cell>
          <cell r="C124">
            <v>3.1</v>
          </cell>
          <cell r="D124">
            <v>1.1000000000000001</v>
          </cell>
          <cell r="E124">
            <v>4.2</v>
          </cell>
        </row>
        <row r="125">
          <cell r="B125" t="str">
            <v>Santa Rita do Sapucaí</v>
          </cell>
          <cell r="C125">
            <v>3.1</v>
          </cell>
          <cell r="D125">
            <v>1.1000000000000001</v>
          </cell>
          <cell r="E125">
            <v>4.2</v>
          </cell>
        </row>
        <row r="126">
          <cell r="B126" t="str">
            <v>Santo Antônio do Monte</v>
          </cell>
          <cell r="C126">
            <v>3.1</v>
          </cell>
          <cell r="D126">
            <v>1.1000000000000001</v>
          </cell>
          <cell r="E126">
            <v>4.2</v>
          </cell>
        </row>
        <row r="127">
          <cell r="B127" t="str">
            <v>Santos Dumont</v>
          </cell>
          <cell r="C127">
            <v>3.1</v>
          </cell>
          <cell r="D127">
            <v>1.1000000000000001</v>
          </cell>
          <cell r="E127">
            <v>4.2</v>
          </cell>
        </row>
        <row r="128">
          <cell r="B128" t="str">
            <v>São Gonçalo do Sapucaí</v>
          </cell>
          <cell r="C128">
            <v>3.1</v>
          </cell>
          <cell r="D128">
            <v>1.1000000000000001</v>
          </cell>
          <cell r="E128">
            <v>4.2</v>
          </cell>
        </row>
        <row r="129">
          <cell r="B129" t="str">
            <v>São João da Ponte</v>
          </cell>
          <cell r="C129">
            <v>3.1</v>
          </cell>
          <cell r="D129">
            <v>1.1000000000000001</v>
          </cell>
          <cell r="E129">
            <v>4.2</v>
          </cell>
        </row>
        <row r="130">
          <cell r="B130" t="str">
            <v>São João Del Rey</v>
          </cell>
          <cell r="C130">
            <v>3.1</v>
          </cell>
          <cell r="D130">
            <v>1.1000000000000001</v>
          </cell>
          <cell r="E130">
            <v>4.2</v>
          </cell>
        </row>
        <row r="131">
          <cell r="B131" t="str">
            <v>Sete Lagoas</v>
          </cell>
          <cell r="C131">
            <v>3.1</v>
          </cell>
          <cell r="D131">
            <v>1.1000000000000001</v>
          </cell>
          <cell r="E131">
            <v>4.2</v>
          </cell>
        </row>
        <row r="132">
          <cell r="B132" t="str">
            <v>Teófilo Otoni</v>
          </cell>
          <cell r="C132">
            <v>3.1</v>
          </cell>
          <cell r="D132">
            <v>1.1000000000000001</v>
          </cell>
          <cell r="E132">
            <v>4.2</v>
          </cell>
        </row>
        <row r="133">
          <cell r="B133" t="str">
            <v>Três Pontas</v>
          </cell>
          <cell r="C133">
            <v>3.1</v>
          </cell>
          <cell r="D133">
            <v>1.1000000000000001</v>
          </cell>
          <cell r="E133">
            <v>4.2</v>
          </cell>
        </row>
        <row r="134">
          <cell r="B134" t="str">
            <v>Tupaciguara</v>
          </cell>
          <cell r="C134">
            <v>3.1</v>
          </cell>
          <cell r="D134">
            <v>1.1000000000000001</v>
          </cell>
          <cell r="E134">
            <v>4.2</v>
          </cell>
        </row>
        <row r="135">
          <cell r="B135" t="str">
            <v>Ubá</v>
          </cell>
          <cell r="C135">
            <v>3.1</v>
          </cell>
          <cell r="D135">
            <v>1.1000000000000001</v>
          </cell>
          <cell r="E135">
            <v>4.2</v>
          </cell>
        </row>
        <row r="136">
          <cell r="B136" t="str">
            <v>Uberaba</v>
          </cell>
          <cell r="C136">
            <v>3.1</v>
          </cell>
          <cell r="D136">
            <v>1.1000000000000001</v>
          </cell>
          <cell r="E136">
            <v>4.2</v>
          </cell>
        </row>
        <row r="137">
          <cell r="B137" t="str">
            <v>Uberaba.</v>
          </cell>
          <cell r="C137">
            <v>3.1</v>
          </cell>
          <cell r="D137">
            <v>1.1000000000000001</v>
          </cell>
          <cell r="E137">
            <v>4.2</v>
          </cell>
        </row>
        <row r="138">
          <cell r="B138" t="str">
            <v>Uberlândia</v>
          </cell>
          <cell r="C138">
            <v>3.1</v>
          </cell>
          <cell r="D138">
            <v>1.1000000000000001</v>
          </cell>
          <cell r="E138">
            <v>4.2</v>
          </cell>
        </row>
        <row r="139">
          <cell r="B139" t="str">
            <v>Uberlândia.</v>
          </cell>
          <cell r="C139">
            <v>3.1</v>
          </cell>
          <cell r="D139">
            <v>1.1000000000000001</v>
          </cell>
          <cell r="E139">
            <v>4.2</v>
          </cell>
        </row>
        <row r="140">
          <cell r="B140" t="str">
            <v>Uberlândia..</v>
          </cell>
          <cell r="C140">
            <v>3.1</v>
          </cell>
          <cell r="D140">
            <v>1.1000000000000001</v>
          </cell>
          <cell r="E140">
            <v>4.2</v>
          </cell>
        </row>
        <row r="141">
          <cell r="B141" t="str">
            <v>Varginha</v>
          </cell>
          <cell r="C141">
            <v>3.1</v>
          </cell>
          <cell r="D141">
            <v>1.1000000000000001</v>
          </cell>
          <cell r="E141">
            <v>4.2</v>
          </cell>
        </row>
        <row r="142">
          <cell r="B142" t="str">
            <v>Vespasiano</v>
          </cell>
          <cell r="C142">
            <v>3.1</v>
          </cell>
          <cell r="D142">
            <v>1.1000000000000001</v>
          </cell>
          <cell r="E142">
            <v>4.2</v>
          </cell>
        </row>
        <row r="143">
          <cell r="B143" t="str">
            <v>Viçosa</v>
          </cell>
          <cell r="C143">
            <v>3.1</v>
          </cell>
          <cell r="D143">
            <v>1.1000000000000001</v>
          </cell>
          <cell r="E143">
            <v>4.2</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113">
          <cell r="D113">
            <v>6217.94</v>
          </cell>
        </row>
      </sheetData>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DITAL"/>
      <sheetName val="Res. Edital"/>
      <sheetName val="PARÂMETRO"/>
      <sheetName val="CCT"/>
      <sheetName val="Total"/>
      <sheetName val="Res"/>
      <sheetName val="Res. Cat"/>
      <sheetName val="1.12"/>
      <sheetName val="2.13"/>
      <sheetName val="3.12"/>
      <sheetName val="4.11"/>
      <sheetName val="5.13"/>
      <sheetName val="6"/>
      <sheetName val="6.11"/>
      <sheetName val="6.12"/>
      <sheetName val="7"/>
      <sheetName val="7.11"/>
      <sheetName val="9"/>
      <sheetName val="9.11"/>
      <sheetName val="10"/>
      <sheetName val="10.11"/>
      <sheetName val="11.12"/>
      <sheetName val="12.14"/>
      <sheetName val="13.12"/>
      <sheetName val="14"/>
      <sheetName val="14.11"/>
      <sheetName val="15.11"/>
      <sheetName val="16"/>
      <sheetName val="16.11"/>
      <sheetName val="17"/>
      <sheetName val="17.11"/>
      <sheetName val="18.13"/>
      <sheetName val="19.14"/>
      <sheetName val="20.14"/>
      <sheetName val="21"/>
      <sheetName val="21.12"/>
      <sheetName val="21.13"/>
      <sheetName val="22"/>
      <sheetName val="22.12"/>
      <sheetName val="23.11"/>
      <sheetName val="23.13"/>
      <sheetName val="24.14"/>
      <sheetName val="25"/>
      <sheetName val="25.11"/>
      <sheetName val="25.13"/>
      <sheetName val="26.14"/>
      <sheetName val="27.14"/>
      <sheetName val="28.11"/>
      <sheetName val="29.11"/>
      <sheetName val="30.12"/>
      <sheetName val="31"/>
      <sheetName val="31.11"/>
      <sheetName val="31.12"/>
      <sheetName val="32.14"/>
      <sheetName val="33"/>
      <sheetName val="33.12"/>
      <sheetName val="34.12"/>
      <sheetName val="35.12"/>
      <sheetName val="36.12"/>
      <sheetName val="37.11"/>
      <sheetName val="38"/>
      <sheetName val="38.11"/>
      <sheetName val="39"/>
      <sheetName val="39.11"/>
      <sheetName val="40.11"/>
      <sheetName val="41.13"/>
      <sheetName val="42.11"/>
      <sheetName val="43.11"/>
      <sheetName val="44"/>
      <sheetName val="44.11"/>
      <sheetName val="45.11"/>
      <sheetName val="46.13"/>
      <sheetName val="47"/>
      <sheetName val="47.11"/>
      <sheetName val="47.12"/>
      <sheetName val="48"/>
      <sheetName val="48.12"/>
      <sheetName val="51.11"/>
      <sheetName val="52.11"/>
      <sheetName val="54"/>
      <sheetName val="54.11"/>
      <sheetName val="55"/>
      <sheetName val="55.11"/>
      <sheetName val="55.13"/>
      <sheetName val="56.11"/>
      <sheetName val="58.14"/>
      <sheetName val="59.14"/>
      <sheetName val="60.14"/>
      <sheetName val="61"/>
      <sheetName val="61.11"/>
      <sheetName val="62"/>
      <sheetName val="62.11"/>
      <sheetName val="62.12"/>
      <sheetName val="64"/>
      <sheetName val="64.11"/>
      <sheetName val="65"/>
      <sheetName val="65.11"/>
      <sheetName val="65.13"/>
      <sheetName val="66.14"/>
      <sheetName val="68.14"/>
      <sheetName val="69.14"/>
      <sheetName val="70.12"/>
      <sheetName val="72.12"/>
      <sheetName val="73.14"/>
      <sheetName val="74"/>
      <sheetName val="74.11"/>
      <sheetName val="75.13"/>
      <sheetName val="76.12"/>
      <sheetName val="77"/>
      <sheetName val="77.11"/>
      <sheetName val="77.12"/>
      <sheetName val="78"/>
      <sheetName val="78.11"/>
      <sheetName val="78.12"/>
      <sheetName val="79.13"/>
      <sheetName val="80"/>
      <sheetName val="80.13"/>
      <sheetName val="81"/>
      <sheetName val="81.11"/>
      <sheetName val="81.12 "/>
      <sheetName val="82"/>
      <sheetName val="82.11"/>
      <sheetName val="82.13"/>
      <sheetName val="83"/>
      <sheetName val="83.11"/>
      <sheetName val="84.11"/>
      <sheetName val="85.11"/>
      <sheetName val="86.12"/>
      <sheetName val="87"/>
      <sheetName val="87.1"/>
      <sheetName val="87.2"/>
      <sheetName val="87.3"/>
      <sheetName val="87.4"/>
      <sheetName val="87.5"/>
      <sheetName val="87.6"/>
      <sheetName val="87.7"/>
      <sheetName val="87.8"/>
      <sheetName val="87.9"/>
      <sheetName val="87.10"/>
      <sheetName val="87.11"/>
      <sheetName val="87.12"/>
      <sheetName val="87.13"/>
      <sheetName val="88"/>
      <sheetName val="88.14"/>
      <sheetName val="89.14"/>
      <sheetName val="90.13"/>
      <sheetName val="91.14"/>
      <sheetName val="92.13"/>
      <sheetName val="93.14"/>
      <sheetName val="94.14"/>
      <sheetName val="95.13"/>
      <sheetName val="96.13"/>
      <sheetName val="97.14"/>
      <sheetName val="98.14"/>
      <sheetName val="99.13"/>
      <sheetName val="100.14 "/>
      <sheetName val="101.14 "/>
      <sheetName val="102.14"/>
      <sheetName val="103.14 "/>
      <sheetName val="104.14 "/>
      <sheetName val="105.13"/>
      <sheetName val="106.14 "/>
      <sheetName val="107.14"/>
      <sheetName val="108"/>
      <sheetName val="109"/>
      <sheetName val="110"/>
      <sheetName val="111"/>
      <sheetName val="Unif"/>
    </sheetNames>
    <sheetDataSet>
      <sheetData sheetId="0"/>
      <sheetData sheetId="1"/>
      <sheetData sheetId="2" refreshError="1">
        <row r="3">
          <cell r="B3" t="str">
            <v>Fethemg Interior</v>
          </cell>
          <cell r="C3">
            <v>0</v>
          </cell>
          <cell r="D3">
            <v>6.5</v>
          </cell>
          <cell r="E3">
            <v>0</v>
          </cell>
          <cell r="F3">
            <v>0</v>
          </cell>
          <cell r="G3">
            <v>9.8000000000000007</v>
          </cell>
          <cell r="H3">
            <v>0</v>
          </cell>
        </row>
        <row r="4">
          <cell r="B4" t="str">
            <v>A Definir</v>
          </cell>
          <cell r="C4">
            <v>0</v>
          </cell>
          <cell r="D4">
            <v>5</v>
          </cell>
          <cell r="E4">
            <v>0</v>
          </cell>
          <cell r="F4">
            <v>0</v>
          </cell>
          <cell r="G4">
            <v>8.4</v>
          </cell>
          <cell r="H4">
            <v>0</v>
          </cell>
        </row>
        <row r="5">
          <cell r="B5" t="str">
            <v>Alto Paranaiba</v>
          </cell>
          <cell r="C5">
            <v>10.95</v>
          </cell>
          <cell r="D5">
            <v>0</v>
          </cell>
          <cell r="E5">
            <v>0</v>
          </cell>
          <cell r="F5">
            <v>0</v>
          </cell>
          <cell r="G5">
            <v>153.30000000000001</v>
          </cell>
          <cell r="H5">
            <v>0</v>
          </cell>
        </row>
        <row r="6">
          <cell r="B6" t="str">
            <v>Araxá</v>
          </cell>
          <cell r="C6">
            <v>27.5</v>
          </cell>
          <cell r="D6">
            <v>0</v>
          </cell>
          <cell r="E6">
            <v>0</v>
          </cell>
          <cell r="F6">
            <v>0</v>
          </cell>
          <cell r="G6">
            <v>9.8000000000000007</v>
          </cell>
          <cell r="H6">
            <v>0</v>
          </cell>
        </row>
        <row r="7">
          <cell r="B7" t="str">
            <v>Sind - Asseio</v>
          </cell>
          <cell r="C7">
            <v>0</v>
          </cell>
          <cell r="D7">
            <v>6.5</v>
          </cell>
          <cell r="E7">
            <v>25.5</v>
          </cell>
          <cell r="F7">
            <v>0.06</v>
          </cell>
          <cell r="G7">
            <v>9.8000000000000007</v>
          </cell>
          <cell r="H7">
            <v>0</v>
          </cell>
        </row>
        <row r="8">
          <cell r="B8" t="str">
            <v>Curvelo</v>
          </cell>
          <cell r="C8">
            <v>23.3</v>
          </cell>
          <cell r="D8">
            <v>0</v>
          </cell>
          <cell r="E8">
            <v>0</v>
          </cell>
          <cell r="F8">
            <v>0</v>
          </cell>
          <cell r="G8">
            <v>9.8000000000000007</v>
          </cell>
          <cell r="H8">
            <v>0</v>
          </cell>
        </row>
        <row r="9">
          <cell r="B9" t="str">
            <v>Divinopolis</v>
          </cell>
          <cell r="C9">
            <v>23.3</v>
          </cell>
          <cell r="D9">
            <v>0</v>
          </cell>
          <cell r="E9">
            <v>0</v>
          </cell>
          <cell r="F9">
            <v>0</v>
          </cell>
          <cell r="G9">
            <v>9.8000000000000007</v>
          </cell>
          <cell r="H9">
            <v>0</v>
          </cell>
        </row>
        <row r="10">
          <cell r="B10" t="str">
            <v>Região Uberaba</v>
          </cell>
          <cell r="C10">
            <v>0</v>
          </cell>
          <cell r="D10">
            <v>0</v>
          </cell>
          <cell r="E10">
            <v>0</v>
          </cell>
          <cell r="F10">
            <v>0</v>
          </cell>
          <cell r="G10">
            <v>9.8000000000000007</v>
          </cell>
          <cell r="H10">
            <v>0</v>
          </cell>
        </row>
        <row r="11">
          <cell r="B11" t="str">
            <v>Gov. Valadares</v>
          </cell>
          <cell r="C11">
            <v>0</v>
          </cell>
          <cell r="D11">
            <v>0</v>
          </cell>
          <cell r="E11">
            <v>0</v>
          </cell>
          <cell r="F11">
            <v>0</v>
          </cell>
          <cell r="G11">
            <v>9.8000000000000007</v>
          </cell>
          <cell r="H11">
            <v>0</v>
          </cell>
        </row>
        <row r="12">
          <cell r="B12" t="str">
            <v>SECI</v>
          </cell>
          <cell r="C12">
            <v>0</v>
          </cell>
          <cell r="D12">
            <v>0</v>
          </cell>
          <cell r="E12">
            <v>0</v>
          </cell>
          <cell r="F12">
            <v>0</v>
          </cell>
          <cell r="G12">
            <v>9.8000000000000007</v>
          </cell>
          <cell r="H12">
            <v>0</v>
          </cell>
        </row>
        <row r="13">
          <cell r="B13" t="str">
            <v>São Lourenço</v>
          </cell>
          <cell r="C13">
            <v>17.55</v>
          </cell>
          <cell r="D13">
            <v>0</v>
          </cell>
          <cell r="E13">
            <v>0</v>
          </cell>
          <cell r="F13">
            <v>0</v>
          </cell>
          <cell r="G13">
            <v>8.4</v>
          </cell>
          <cell r="H13">
            <v>0</v>
          </cell>
        </row>
        <row r="14">
          <cell r="B14" t="str">
            <v>Região de São Lourenço</v>
          </cell>
          <cell r="C14">
            <v>17.55</v>
          </cell>
          <cell r="D14">
            <v>0</v>
          </cell>
          <cell r="E14">
            <v>0</v>
          </cell>
          <cell r="F14">
            <v>0</v>
          </cell>
          <cell r="G14">
            <v>8.4</v>
          </cell>
          <cell r="H14">
            <v>0</v>
          </cell>
        </row>
        <row r="15">
          <cell r="B15" t="str">
            <v>Sethac Norte de Minas</v>
          </cell>
          <cell r="C15">
            <v>0</v>
          </cell>
          <cell r="D15">
            <v>0</v>
          </cell>
          <cell r="E15">
            <v>0</v>
          </cell>
          <cell r="F15">
            <v>0</v>
          </cell>
          <cell r="G15">
            <v>9.8000000000000007</v>
          </cell>
          <cell r="H15">
            <v>0</v>
          </cell>
        </row>
        <row r="16">
          <cell r="B16" t="str">
            <v>Juiz de Fora</v>
          </cell>
          <cell r="C16">
            <v>0</v>
          </cell>
          <cell r="D16">
            <v>7</v>
          </cell>
          <cell r="E16">
            <v>0</v>
          </cell>
          <cell r="F16">
            <v>0</v>
          </cell>
          <cell r="G16">
            <v>8.4</v>
          </cell>
          <cell r="H16">
            <v>0</v>
          </cell>
        </row>
        <row r="17">
          <cell r="B17" t="str">
            <v>Cataguases</v>
          </cell>
          <cell r="C17">
            <v>26.5</v>
          </cell>
          <cell r="D17">
            <v>0</v>
          </cell>
          <cell r="E17">
            <v>0</v>
          </cell>
          <cell r="F17">
            <v>0</v>
          </cell>
          <cell r="G17">
            <v>9.8000000000000007</v>
          </cell>
          <cell r="H17">
            <v>0</v>
          </cell>
        </row>
        <row r="18">
          <cell r="B18" t="str">
            <v>Montes Claros</v>
          </cell>
          <cell r="C18">
            <v>23.3</v>
          </cell>
          <cell r="D18">
            <v>0</v>
          </cell>
          <cell r="E18">
            <v>0</v>
          </cell>
          <cell r="F18">
            <v>0</v>
          </cell>
          <cell r="G18">
            <v>9.8000000000000007</v>
          </cell>
          <cell r="H18">
            <v>0</v>
          </cell>
        </row>
        <row r="19">
          <cell r="B19" t="str">
            <v>Fethemg RM</v>
          </cell>
          <cell r="C19">
            <v>0</v>
          </cell>
          <cell r="D19">
            <v>6.5</v>
          </cell>
          <cell r="E19">
            <v>0</v>
          </cell>
          <cell r="F19">
            <v>0</v>
          </cell>
          <cell r="G19">
            <v>9.8000000000000007</v>
          </cell>
          <cell r="H19">
            <v>0</v>
          </cell>
        </row>
        <row r="20">
          <cell r="B20" t="str">
            <v>Sete Lagoas</v>
          </cell>
          <cell r="C20">
            <v>23.3</v>
          </cell>
          <cell r="D20">
            <v>0</v>
          </cell>
          <cell r="E20">
            <v>0</v>
          </cell>
          <cell r="F20">
            <v>0</v>
          </cell>
          <cell r="G20">
            <v>9.8000000000000007</v>
          </cell>
          <cell r="H20">
            <v>0</v>
          </cell>
        </row>
        <row r="21">
          <cell r="B21" t="str">
            <v>Uberaba</v>
          </cell>
          <cell r="C21">
            <v>23.3</v>
          </cell>
          <cell r="D21">
            <v>0</v>
          </cell>
          <cell r="E21">
            <v>0</v>
          </cell>
          <cell r="F21">
            <v>0</v>
          </cell>
          <cell r="G21">
            <v>9.8000000000000007</v>
          </cell>
          <cell r="H21">
            <v>0</v>
          </cell>
        </row>
        <row r="22">
          <cell r="B22" t="str">
            <v>Uberlândia</v>
          </cell>
          <cell r="C22">
            <v>10.95</v>
          </cell>
          <cell r="D22">
            <v>0</v>
          </cell>
          <cell r="E22">
            <v>0</v>
          </cell>
          <cell r="F22">
            <v>0</v>
          </cell>
          <cell r="G22">
            <v>153.30000000000001</v>
          </cell>
          <cell r="H22">
            <v>0</v>
          </cell>
        </row>
        <row r="23">
          <cell r="B23" t="str">
            <v>Vespasiano</v>
          </cell>
          <cell r="C23">
            <v>0</v>
          </cell>
          <cell r="D23">
            <v>0</v>
          </cell>
          <cell r="E23">
            <v>0</v>
          </cell>
          <cell r="F23">
            <v>0</v>
          </cell>
          <cell r="G23">
            <v>9.8000000000000007</v>
          </cell>
          <cell r="H23">
            <v>0</v>
          </cell>
        </row>
        <row r="24">
          <cell r="B24" t="str">
            <v>Sintell</v>
          </cell>
          <cell r="C24">
            <v>0</v>
          </cell>
          <cell r="D24">
            <v>0</v>
          </cell>
          <cell r="E24">
            <v>0</v>
          </cell>
          <cell r="F24">
            <v>0</v>
          </cell>
          <cell r="G24">
            <v>10.76</v>
          </cell>
          <cell r="H24">
            <v>0</v>
          </cell>
        </row>
        <row r="25">
          <cell r="B25" t="str">
            <v>Seethur</v>
          </cell>
          <cell r="C25">
            <v>21.28</v>
          </cell>
          <cell r="D25">
            <v>0</v>
          </cell>
          <cell r="E25">
            <v>0</v>
          </cell>
          <cell r="F25">
            <v>0</v>
          </cell>
          <cell r="G25">
            <v>8.4</v>
          </cell>
          <cell r="H25">
            <v>0</v>
          </cell>
        </row>
        <row r="26">
          <cell r="B26" t="str">
            <v>SEAC</v>
          </cell>
          <cell r="C26">
            <v>27.5</v>
          </cell>
          <cell r="D26">
            <v>6.5</v>
          </cell>
          <cell r="E26">
            <v>0</v>
          </cell>
          <cell r="F26">
            <v>0</v>
          </cell>
          <cell r="G26">
            <v>9.8000000000000007</v>
          </cell>
          <cell r="H26">
            <v>0</v>
          </cell>
        </row>
        <row r="30">
          <cell r="B30" t="str">
            <v>Águas Formosas</v>
          </cell>
        </row>
        <row r="31">
          <cell r="B31" t="str">
            <v>Aiuruoca</v>
          </cell>
        </row>
        <row r="32">
          <cell r="B32" t="str">
            <v>Alfenas</v>
          </cell>
        </row>
        <row r="33">
          <cell r="B33" t="str">
            <v>Almenara</v>
          </cell>
        </row>
        <row r="34">
          <cell r="B34" t="str">
            <v>Araçuaí</v>
          </cell>
        </row>
        <row r="35">
          <cell r="B35" t="str">
            <v>Araguari</v>
          </cell>
        </row>
        <row r="36">
          <cell r="B36" t="str">
            <v>Araxá</v>
          </cell>
        </row>
        <row r="37">
          <cell r="B37" t="str">
            <v>Barbacena</v>
          </cell>
        </row>
        <row r="38">
          <cell r="B38" t="str">
            <v>Betim</v>
          </cell>
        </row>
        <row r="39">
          <cell r="B39" t="str">
            <v>Campo Belo</v>
          </cell>
        </row>
        <row r="40">
          <cell r="B40" t="str">
            <v>Carangola</v>
          </cell>
        </row>
        <row r="41">
          <cell r="B41" t="str">
            <v>Caratinga</v>
          </cell>
        </row>
        <row r="42">
          <cell r="B42" t="str">
            <v>Carmo do Paranaíba</v>
          </cell>
        </row>
        <row r="43">
          <cell r="B43" t="str">
            <v>Congonhas</v>
          </cell>
        </row>
        <row r="44">
          <cell r="B44" t="str">
            <v>Conselheiro Lafaiete</v>
          </cell>
        </row>
        <row r="45">
          <cell r="B45" t="str">
            <v>Contagem</v>
          </cell>
        </row>
        <row r="46">
          <cell r="B46" t="str">
            <v>Conquista</v>
          </cell>
        </row>
        <row r="47">
          <cell r="B47" t="str">
            <v>Corinto</v>
          </cell>
        </row>
        <row r="48">
          <cell r="B48" t="str">
            <v>Coromandel</v>
          </cell>
        </row>
        <row r="49">
          <cell r="B49" t="str">
            <v>Diamantina</v>
          </cell>
        </row>
        <row r="50">
          <cell r="B50" t="str">
            <v>Divinópolis</v>
          </cell>
        </row>
        <row r="51">
          <cell r="B51" t="str">
            <v>Formiga</v>
          </cell>
        </row>
        <row r="52">
          <cell r="B52" t="str">
            <v>Frutal</v>
          </cell>
        </row>
        <row r="53">
          <cell r="B53" t="str">
            <v>Governador Valadares</v>
          </cell>
        </row>
        <row r="54">
          <cell r="B54" t="str">
            <v>Guanhães</v>
          </cell>
        </row>
        <row r="55">
          <cell r="B55" t="str">
            <v>Ibiá</v>
          </cell>
        </row>
        <row r="56">
          <cell r="B56" t="str">
            <v>Ibirité</v>
          </cell>
        </row>
        <row r="57">
          <cell r="B57" t="str">
            <v>Ipatinga</v>
          </cell>
        </row>
        <row r="58">
          <cell r="B58" t="str">
            <v>Itabirito</v>
          </cell>
        </row>
        <row r="59">
          <cell r="B59" t="str">
            <v>Itajubá</v>
          </cell>
        </row>
        <row r="60">
          <cell r="B60" t="str">
            <v>Itamonte</v>
          </cell>
        </row>
        <row r="61">
          <cell r="B61" t="str">
            <v>Itaúna</v>
          </cell>
        </row>
        <row r="62">
          <cell r="B62" t="str">
            <v>Ituiutaba</v>
          </cell>
        </row>
        <row r="63">
          <cell r="B63" t="str">
            <v>Janaúba</v>
          </cell>
        </row>
        <row r="64">
          <cell r="B64" t="str">
            <v>Januária</v>
          </cell>
        </row>
        <row r="65">
          <cell r="B65" t="str">
            <v>João Pinheiro</v>
          </cell>
        </row>
        <row r="66">
          <cell r="B66" t="str">
            <v>Juiz de Fora</v>
          </cell>
        </row>
        <row r="67">
          <cell r="B67" t="str">
            <v>Lavras</v>
          </cell>
        </row>
        <row r="68">
          <cell r="B68" t="str">
            <v>Leopoldina</v>
          </cell>
        </row>
        <row r="69">
          <cell r="B69" t="str">
            <v>Machado</v>
          </cell>
        </row>
        <row r="70">
          <cell r="B70" t="str">
            <v>Manga</v>
          </cell>
        </row>
        <row r="71">
          <cell r="B71" t="str">
            <v>Mateus Leme</v>
          </cell>
        </row>
        <row r="72">
          <cell r="B72" t="str">
            <v>Montes Claros</v>
          </cell>
        </row>
        <row r="73">
          <cell r="B73" t="str">
            <v>Morada Nova de Minas</v>
          </cell>
        </row>
        <row r="74">
          <cell r="B74" t="str">
            <v>Muriaé</v>
          </cell>
        </row>
        <row r="75">
          <cell r="B75" t="str">
            <v>Nova Lima</v>
          </cell>
        </row>
        <row r="76">
          <cell r="B76" t="str">
            <v>Nova Ponte</v>
          </cell>
        </row>
        <row r="77">
          <cell r="B77" t="str">
            <v>Ouro Preto</v>
          </cell>
        </row>
        <row r="78">
          <cell r="B78" t="str">
            <v>Pará de Minas</v>
          </cell>
        </row>
        <row r="79">
          <cell r="B79" t="str">
            <v>Passos</v>
          </cell>
        </row>
        <row r="80">
          <cell r="B80" t="str">
            <v>Patos de Minas</v>
          </cell>
        </row>
        <row r="81">
          <cell r="B81" t="str">
            <v>Pedro Leopoldo</v>
          </cell>
        </row>
        <row r="82">
          <cell r="B82" t="str">
            <v>Pitangui</v>
          </cell>
        </row>
        <row r="83">
          <cell r="B83" t="str">
            <v>Piunhi</v>
          </cell>
        </row>
        <row r="84">
          <cell r="B84" t="str">
            <v>Poço Fundo</v>
          </cell>
        </row>
        <row r="85">
          <cell r="B85" t="str">
            <v>Poços de Caldas</v>
          </cell>
        </row>
        <row r="86">
          <cell r="B86" t="str">
            <v>Ponte Nova</v>
          </cell>
        </row>
        <row r="87">
          <cell r="B87" t="str">
            <v>Pouso Alegre</v>
          </cell>
        </row>
        <row r="88">
          <cell r="B88" t="str">
            <v>Ribeirão das Neves</v>
          </cell>
        </row>
        <row r="89">
          <cell r="B89" t="str">
            <v>Sacramento</v>
          </cell>
        </row>
        <row r="90">
          <cell r="B90" t="str">
            <v>Santa Rita do Sapucaí</v>
          </cell>
        </row>
        <row r="91">
          <cell r="B91" t="str">
            <v>Santa Vitória</v>
          </cell>
        </row>
        <row r="92">
          <cell r="B92" t="str">
            <v>Santo Antônio do Monte</v>
          </cell>
        </row>
        <row r="93">
          <cell r="B93" t="str">
            <v>São Francisco</v>
          </cell>
        </row>
        <row r="94">
          <cell r="B94" t="str">
            <v>São Gonçalo do Sapucaí</v>
          </cell>
        </row>
        <row r="95">
          <cell r="B95" t="str">
            <v>São João Del Rey</v>
          </cell>
        </row>
        <row r="96">
          <cell r="B96" t="str">
            <v>São Lourenço</v>
          </cell>
        </row>
        <row r="97">
          <cell r="B97" t="str">
            <v>São Sebastião do Paraíso</v>
          </cell>
        </row>
        <row r="98">
          <cell r="B98" t="str">
            <v>Sete Lagoas</v>
          </cell>
        </row>
        <row r="99">
          <cell r="B99" t="str">
            <v>Teófilo Otoni</v>
          </cell>
        </row>
        <row r="100">
          <cell r="B100" t="str">
            <v>Tupaciguara</v>
          </cell>
        </row>
        <row r="101">
          <cell r="B101" t="str">
            <v>Três Pontas</v>
          </cell>
        </row>
        <row r="102">
          <cell r="B102" t="str">
            <v>Ubá</v>
          </cell>
        </row>
        <row r="103">
          <cell r="B103" t="str">
            <v>Uberaba</v>
          </cell>
        </row>
        <row r="104">
          <cell r="B104" t="str">
            <v>Uberlândia</v>
          </cell>
        </row>
        <row r="105">
          <cell r="B105" t="str">
            <v>Varginha</v>
          </cell>
        </row>
        <row r="106">
          <cell r="B106" t="str">
            <v>Vespasiano</v>
          </cell>
        </row>
        <row r="107">
          <cell r="B107" t="str">
            <v>Viçosa</v>
          </cell>
        </row>
        <row r="108">
          <cell r="B108" t="str">
            <v>Belo Horizonte</v>
          </cell>
        </row>
        <row r="109">
          <cell r="B109" t="str">
            <v>Cláudio</v>
          </cell>
        </row>
        <row r="110">
          <cell r="B110" t="str">
            <v>Luz</v>
          </cell>
        </row>
        <row r="111">
          <cell r="B111" t="str">
            <v>Itabira</v>
          </cell>
        </row>
        <row r="112">
          <cell r="B112" t="str">
            <v>Monte Azul</v>
          </cell>
        </row>
        <row r="113">
          <cell r="B113" t="str">
            <v>Caeté</v>
          </cell>
        </row>
        <row r="114">
          <cell r="B114" t="str">
            <v>Ouro Fino</v>
          </cell>
        </row>
        <row r="115">
          <cell r="B115" t="str">
            <v>Capelinha</v>
          </cell>
        </row>
        <row r="116">
          <cell r="B116" t="str">
            <v>Boa Esperança</v>
          </cell>
        </row>
        <row r="117">
          <cell r="B117" t="str">
            <v>Andradas</v>
          </cell>
        </row>
        <row r="118">
          <cell r="B118" t="str">
            <v>Minas Novas</v>
          </cell>
        </row>
        <row r="119">
          <cell r="B119" t="str">
            <v>Miraí</v>
          </cell>
        </row>
        <row r="120">
          <cell r="B120" t="str">
            <v>Oliveira</v>
          </cell>
        </row>
        <row r="121">
          <cell r="B121" t="str">
            <v>Arinos</v>
          </cell>
        </row>
        <row r="122">
          <cell r="B122" t="str">
            <v>Itaguara</v>
          </cell>
        </row>
        <row r="123">
          <cell r="B123" t="str">
            <v>Carmópolis de Minas</v>
          </cell>
        </row>
        <row r="124">
          <cell r="B124" t="str">
            <v>Resplendor</v>
          </cell>
        </row>
        <row r="125">
          <cell r="B125" t="str">
            <v>Martinho Campos</v>
          </cell>
        </row>
        <row r="126">
          <cell r="B126" t="str">
            <v>Igarapé</v>
          </cell>
        </row>
        <row r="127">
          <cell r="B127" t="str">
            <v>São João da Ponte</v>
          </cell>
        </row>
        <row r="128">
          <cell r="B128" t="str">
            <v>Itambacuri</v>
          </cell>
        </row>
        <row r="129">
          <cell r="B129" t="str">
            <v>Conselheiro Pena</v>
          </cell>
        </row>
        <row r="130">
          <cell r="B130" t="str">
            <v>Cássia</v>
          </cell>
        </row>
        <row r="131">
          <cell r="B131" t="str">
            <v>Arcos</v>
          </cell>
        </row>
        <row r="132">
          <cell r="B132" t="str">
            <v>Iturama</v>
          </cell>
        </row>
        <row r="133">
          <cell r="B133">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OIO "/>
      <sheetName val="LIMPEZA "/>
      <sheetName val="CUSTO LOTE 1"/>
      <sheetName val="CUSTO LOTE 2"/>
      <sheetName val="ABR-2013"/>
      <sheetName val="MIX"/>
    </sheetNames>
    <sheetDataSet>
      <sheetData sheetId="0"/>
      <sheetData sheetId="1"/>
      <sheetData sheetId="2"/>
      <sheetData sheetId="3">
        <row r="3">
          <cell r="D3" t="str">
            <v>FUNÇÕES/LOCALIDADE</v>
          </cell>
          <cell r="E3" t="str">
            <v>Valor Unitário</v>
          </cell>
          <cell r="F3" t="str">
            <v>Valor Unitário</v>
          </cell>
          <cell r="G3" t="str">
            <v>Valor Unitário</v>
          </cell>
          <cell r="H3" t="str">
            <v>Valor Unitário</v>
          </cell>
          <cell r="I3" t="str">
            <v>Valor Unitário</v>
          </cell>
          <cell r="J3" t="str">
            <v>Valor Unitário</v>
          </cell>
          <cell r="K3">
            <v>41577.467499189799</v>
          </cell>
        </row>
        <row r="4">
          <cell r="D4" t="str">
            <v>Servente de Limpeza 150 horasÁGUAS FORMOSAS / MG</v>
          </cell>
          <cell r="E4">
            <v>964.5</v>
          </cell>
          <cell r="F4">
            <v>1058.5899999999999</v>
          </cell>
          <cell r="G4">
            <v>1124.9100000000001</v>
          </cell>
          <cell r="K4">
            <v>1124.9100000000001</v>
          </cell>
        </row>
        <row r="5">
          <cell r="D5" t="str">
            <v>Servente de Limpeza 110 horasAIURUOCA / MG</v>
          </cell>
          <cell r="E5">
            <v>644.57000000000005</v>
          </cell>
          <cell r="F5">
            <v>700.75</v>
          </cell>
          <cell r="G5">
            <v>725.52</v>
          </cell>
          <cell r="K5">
            <v>725.52</v>
          </cell>
        </row>
        <row r="6">
          <cell r="D6" t="str">
            <v>Servente de Limpeza 150 horasALFENAS / MG</v>
          </cell>
          <cell r="E6">
            <v>964.5</v>
          </cell>
          <cell r="F6">
            <v>1058.5899999999999</v>
          </cell>
          <cell r="G6">
            <v>1124.9100000000001</v>
          </cell>
          <cell r="K6">
            <v>1124.9100000000001</v>
          </cell>
        </row>
        <row r="7">
          <cell r="D7" t="str">
            <v>Servente de Limpeza 220 horasALMENARA / MG</v>
          </cell>
          <cell r="E7">
            <v>1138.73</v>
          </cell>
          <cell r="F7">
            <v>1253.73</v>
          </cell>
          <cell r="G7">
            <v>1343.48</v>
          </cell>
          <cell r="K7">
            <v>1343.48</v>
          </cell>
        </row>
        <row r="8">
          <cell r="D8" t="str">
            <v>Servente de Limpeza 110 horasARAÇUAÍ / MG</v>
          </cell>
          <cell r="E8">
            <v>644.57000000000005</v>
          </cell>
          <cell r="F8">
            <v>700.75</v>
          </cell>
          <cell r="G8">
            <v>725.52</v>
          </cell>
          <cell r="K8">
            <v>725.52</v>
          </cell>
        </row>
        <row r="9">
          <cell r="D9" t="str">
            <v>Servente de Limpeza 220 horasARAGUARI / MG</v>
          </cell>
          <cell r="E9">
            <v>1112.78</v>
          </cell>
          <cell r="F9">
            <v>1225.1500000000001</v>
          </cell>
          <cell r="G9">
            <v>1312.87</v>
          </cell>
          <cell r="K9">
            <v>1312.87</v>
          </cell>
        </row>
        <row r="10">
          <cell r="D10" t="str">
            <v>Servente de Limpeza 150 horasARAGUARI / MG</v>
          </cell>
          <cell r="E10">
            <v>942.52</v>
          </cell>
          <cell r="F10">
            <v>1034.46</v>
          </cell>
          <cell r="G10">
            <v>1099.27</v>
          </cell>
          <cell r="K10">
            <v>1099.27</v>
          </cell>
        </row>
        <row r="11">
          <cell r="D11" t="str">
            <v>Servente de Limpeza 110 horasARAGUARI / MG</v>
          </cell>
          <cell r="E11">
            <v>644.57000000000005</v>
          </cell>
          <cell r="F11">
            <v>700.75</v>
          </cell>
          <cell r="G11">
            <v>0</v>
          </cell>
          <cell r="K11">
            <v>0</v>
          </cell>
        </row>
        <row r="12">
          <cell r="D12" t="str">
            <v>Servente de Limpeza 220 horasARAXÁ / MG</v>
          </cell>
          <cell r="E12">
            <v>1130.92</v>
          </cell>
          <cell r="F12">
            <v>1245.69</v>
          </cell>
          <cell r="G12">
            <v>1336.51</v>
          </cell>
          <cell r="K12">
            <v>1336.51</v>
          </cell>
        </row>
        <row r="13">
          <cell r="D13" t="str">
            <v>Servente de Limpeza 55 horasARCOS/MG</v>
          </cell>
          <cell r="E13">
            <v>0</v>
          </cell>
          <cell r="F13">
            <v>0</v>
          </cell>
          <cell r="G13">
            <v>431.87</v>
          </cell>
          <cell r="K13">
            <v>431.87</v>
          </cell>
        </row>
        <row r="14">
          <cell r="D14" t="str">
            <v>Servente de Limpeza 150 horasBARBACENA / MG</v>
          </cell>
          <cell r="E14">
            <v>937.18</v>
          </cell>
          <cell r="F14">
            <v>1028.5999999999999</v>
          </cell>
          <cell r="G14">
            <v>0</v>
          </cell>
          <cell r="K14">
            <v>0</v>
          </cell>
        </row>
        <row r="15">
          <cell r="D15" t="str">
            <v>Servente de Limpeza 220 horasBARBACENA / MG</v>
          </cell>
          <cell r="F15">
            <v>1218.21</v>
          </cell>
          <cell r="G15">
            <v>1305.42</v>
          </cell>
          <cell r="K15">
            <v>1305.42</v>
          </cell>
        </row>
        <row r="16">
          <cell r="D16" t="str">
            <v>Servente de Limpeza 110 horasBOA ESPERANÇA/MG</v>
          </cell>
          <cell r="F16">
            <v>708.83</v>
          </cell>
          <cell r="G16">
            <v>733.88</v>
          </cell>
          <cell r="K16">
            <v>733.88</v>
          </cell>
        </row>
        <row r="17">
          <cell r="D17" t="str">
            <v>Servente de Limpeza 220 horasBETIM / MG</v>
          </cell>
          <cell r="E17">
            <v>1137.33</v>
          </cell>
          <cell r="F17">
            <v>1252.73</v>
          </cell>
          <cell r="G17">
            <v>1344.08</v>
          </cell>
          <cell r="K17">
            <v>1344.08</v>
          </cell>
        </row>
        <row r="18">
          <cell r="D18" t="str">
            <v>Servente de Limpeza 150 horasCAMPO BELO / MG</v>
          </cell>
          <cell r="E18">
            <v>942.52</v>
          </cell>
          <cell r="F18">
            <v>1034.46</v>
          </cell>
          <cell r="G18">
            <v>1099.27</v>
          </cell>
          <cell r="K18">
            <v>1099.27</v>
          </cell>
        </row>
        <row r="19">
          <cell r="D19" t="str">
            <v>Servente de Limpeza 150 horasCARANGOLA / MG</v>
          </cell>
          <cell r="E19">
            <v>420.03</v>
          </cell>
          <cell r="G19">
            <v>1124.9100000000001</v>
          </cell>
          <cell r="K19">
            <v>1124.9100000000001</v>
          </cell>
        </row>
        <row r="20">
          <cell r="D20" t="str">
            <v>Servente de Limpeza 150 horasCARATINGA / MG</v>
          </cell>
          <cell r="E20">
            <v>942.52</v>
          </cell>
          <cell r="F20">
            <v>1034.46</v>
          </cell>
          <cell r="G20">
            <v>1099.28</v>
          </cell>
          <cell r="K20">
            <v>1099.28</v>
          </cell>
        </row>
        <row r="21">
          <cell r="D21" t="str">
            <v>Servente de Limpeza 110 horasCARMO DO PARANAÍBA / MG</v>
          </cell>
          <cell r="E21">
            <v>644.57000000000005</v>
          </cell>
          <cell r="F21">
            <v>700.75</v>
          </cell>
          <cell r="G21">
            <v>0</v>
          </cell>
          <cell r="K21">
            <v>0</v>
          </cell>
        </row>
        <row r="22">
          <cell r="D22" t="str">
            <v>Servente de Limpeza 220 horasCARMO DO PARANAÍBA / MG</v>
          </cell>
          <cell r="F22">
            <v>1225.1500000000001</v>
          </cell>
          <cell r="G22">
            <v>1312.85</v>
          </cell>
          <cell r="K22">
            <v>1312.85</v>
          </cell>
        </row>
        <row r="23">
          <cell r="D23" t="str">
            <v>Servente de Limpeza 220 horasCONGONHAS / MG</v>
          </cell>
          <cell r="E23">
            <v>1125.6099999999999</v>
          </cell>
          <cell r="F23">
            <v>1239.27</v>
          </cell>
          <cell r="G23">
            <v>1327.99</v>
          </cell>
          <cell r="K23">
            <v>1327.99</v>
          </cell>
        </row>
        <row r="24">
          <cell r="D24" t="str">
            <v>Servente de Limpeza 150 horasCONSELHEIRO LAFAIETE / MG</v>
          </cell>
          <cell r="E24">
            <v>942.52</v>
          </cell>
          <cell r="F24">
            <v>1034.46</v>
          </cell>
          <cell r="G24">
            <v>1099.27</v>
          </cell>
          <cell r="K24">
            <v>1099.27</v>
          </cell>
        </row>
        <row r="25">
          <cell r="D25" t="str">
            <v>Servente de Limpeza 220 horasCONSELHEIRO LAFAIETE / MG</v>
          </cell>
          <cell r="F25">
            <v>1225.1500000000001</v>
          </cell>
          <cell r="G25">
            <v>1312.86</v>
          </cell>
          <cell r="K25">
            <v>1312.86</v>
          </cell>
        </row>
        <row r="26">
          <cell r="D26" t="str">
            <v>Servente de Limpeza 220 horasCONTAGEM / MG</v>
          </cell>
          <cell r="E26">
            <v>1130.92</v>
          </cell>
          <cell r="F26">
            <v>1245.67</v>
          </cell>
          <cell r="G26">
            <v>1336.51</v>
          </cell>
          <cell r="K26">
            <v>1336.51</v>
          </cell>
        </row>
        <row r="27">
          <cell r="D27" t="str">
            <v>Servente de Limpeza 110horasCONQUISTA/ MG</v>
          </cell>
          <cell r="E27">
            <v>0</v>
          </cell>
          <cell r="F27">
            <v>692.86</v>
          </cell>
          <cell r="G27">
            <v>717.35</v>
          </cell>
          <cell r="K27">
            <v>717.35</v>
          </cell>
        </row>
        <row r="28">
          <cell r="D28" t="str">
            <v>Servente de Limpeza 55 horasCORINTO / MG</v>
          </cell>
          <cell r="E28">
            <v>410.46</v>
          </cell>
          <cell r="F28">
            <v>438.55</v>
          </cell>
          <cell r="G28">
            <v>431.86</v>
          </cell>
          <cell r="K28">
            <v>431.86</v>
          </cell>
        </row>
        <row r="29">
          <cell r="D29" t="str">
            <v>Servente de Limpeza 55 horasCOROMANDEL / MG</v>
          </cell>
          <cell r="E29">
            <v>405.83</v>
          </cell>
          <cell r="F29">
            <v>433.61</v>
          </cell>
          <cell r="G29">
            <v>426.99</v>
          </cell>
          <cell r="K29">
            <v>426.99</v>
          </cell>
        </row>
        <row r="30">
          <cell r="D30" t="str">
            <v>Servente de Limpeza 110 horasDIAMANTINA / MG</v>
          </cell>
          <cell r="E30">
            <v>644.57000000000005</v>
          </cell>
          <cell r="F30">
            <v>700.75</v>
          </cell>
          <cell r="G30">
            <v>725.52</v>
          </cell>
          <cell r="K30">
            <v>725.52</v>
          </cell>
        </row>
        <row r="31">
          <cell r="D31" t="str">
            <v>Servente de Limpeza 150 horasDIAMANTINA / MG</v>
          </cell>
          <cell r="G31">
            <v>1099.27</v>
          </cell>
          <cell r="K31">
            <v>1099.27</v>
          </cell>
        </row>
        <row r="32">
          <cell r="D32" t="str">
            <v>Servente de Limpeza 150 horasDIVINÓPOLIS / MG</v>
          </cell>
          <cell r="E32">
            <v>967.91</v>
          </cell>
          <cell r="F32">
            <v>1062.8900000000001</v>
          </cell>
          <cell r="G32">
            <v>1131.1400000000001</v>
          </cell>
          <cell r="K32">
            <v>1131.1400000000001</v>
          </cell>
        </row>
        <row r="33">
          <cell r="D33" t="str">
            <v>Servente de Limpeza 110 horasDIVINÓPOLIS / MG</v>
          </cell>
          <cell r="E33">
            <v>660.07</v>
          </cell>
          <cell r="F33">
            <v>718.12</v>
          </cell>
          <cell r="G33">
            <v>0</v>
          </cell>
          <cell r="K33">
            <v>0</v>
          </cell>
        </row>
        <row r="34">
          <cell r="D34" t="str">
            <v>Servente de Limpeza 220 horasFORMIGA / MG</v>
          </cell>
          <cell r="E34">
            <v>1100.24</v>
          </cell>
          <cell r="F34">
            <v>1211.3499999999999</v>
          </cell>
          <cell r="G34">
            <v>1298.07</v>
          </cell>
          <cell r="K34">
            <v>1298.07</v>
          </cell>
        </row>
        <row r="35">
          <cell r="D35" t="str">
            <v>Servente de Limpeza 110 horasFORMIGA / MG</v>
          </cell>
          <cell r="G35">
            <v>717.34</v>
          </cell>
          <cell r="K35">
            <v>717.34</v>
          </cell>
        </row>
        <row r="36">
          <cell r="D36" t="str">
            <v>Servente de Limpeza 55 horasFRUTAL / MG</v>
          </cell>
          <cell r="E36">
            <v>405.83</v>
          </cell>
          <cell r="F36">
            <v>433.61</v>
          </cell>
          <cell r="G36">
            <v>427</v>
          </cell>
          <cell r="K36">
            <v>427</v>
          </cell>
        </row>
        <row r="37">
          <cell r="D37" t="str">
            <v>Servente de Limpeza 220 horasGOVERNADOR VALADARES / MG</v>
          </cell>
          <cell r="E37">
            <v>1170.49</v>
          </cell>
          <cell r="F37">
            <v>1289.25</v>
          </cell>
          <cell r="G37">
            <v>1383.26</v>
          </cell>
          <cell r="K37">
            <v>1383.26</v>
          </cell>
        </row>
        <row r="38">
          <cell r="D38" t="str">
            <v>Servente de Limpeza 110 horasGOVERNADOR VALADARES / MG</v>
          </cell>
          <cell r="F38">
            <v>734.86</v>
          </cell>
          <cell r="G38">
            <v>762.34</v>
          </cell>
          <cell r="K38">
            <v>762.34</v>
          </cell>
        </row>
        <row r="39">
          <cell r="D39" t="str">
            <v>Servente de Limpeza 55 horasGUANHÃES / MG</v>
          </cell>
          <cell r="E39">
            <v>408.13</v>
          </cell>
          <cell r="F39">
            <v>436.07</v>
          </cell>
          <cell r="G39">
            <v>429.42</v>
          </cell>
          <cell r="K39">
            <v>429.42</v>
          </cell>
        </row>
        <row r="40">
          <cell r="D40" t="str">
            <v>Servente de Limpeza 55 horasIBIA / MG</v>
          </cell>
          <cell r="E40">
            <v>405.83</v>
          </cell>
          <cell r="F40">
            <v>433.61</v>
          </cell>
          <cell r="G40">
            <v>426.99</v>
          </cell>
          <cell r="K40">
            <v>426.99</v>
          </cell>
        </row>
        <row r="41">
          <cell r="D41" t="str">
            <v>Servente de Limpeza 220 horasIBIRITÉ / MG</v>
          </cell>
          <cell r="E41">
            <v>0</v>
          </cell>
          <cell r="F41">
            <v>1245.68</v>
          </cell>
          <cell r="G41">
            <v>1336.51</v>
          </cell>
          <cell r="K41">
            <v>1336.51</v>
          </cell>
        </row>
        <row r="42">
          <cell r="D42" t="str">
            <v>Servente de Limpeza 220 horasIPATINGA / MG</v>
          </cell>
          <cell r="E42">
            <v>1112.78</v>
          </cell>
          <cell r="F42">
            <v>1259.8699999999999</v>
          </cell>
          <cell r="G42">
            <v>1351.74</v>
          </cell>
          <cell r="K42">
            <v>1351.74</v>
          </cell>
        </row>
        <row r="43">
          <cell r="D43" t="str">
            <v>Servente de Limpeza 150 horasITABIRITO / MG</v>
          </cell>
          <cell r="E43">
            <v>931.9</v>
          </cell>
          <cell r="F43">
            <v>1022.8</v>
          </cell>
          <cell r="G43">
            <v>1086.8900000000001</v>
          </cell>
          <cell r="K43">
            <v>1086.8900000000001</v>
          </cell>
        </row>
        <row r="44">
          <cell r="D44" t="str">
            <v>Servente de Limpeza 110 horasITABIRA/MG</v>
          </cell>
          <cell r="G44">
            <v>725.52</v>
          </cell>
          <cell r="K44">
            <v>725.52</v>
          </cell>
        </row>
        <row r="45">
          <cell r="D45" t="str">
            <v>Servente de Limpeza 220 horasITAJUBÁ / MG</v>
          </cell>
          <cell r="E45">
            <v>1100.24</v>
          </cell>
          <cell r="F45">
            <v>1211.3499999999999</v>
          </cell>
          <cell r="G45">
            <v>1298.07</v>
          </cell>
          <cell r="K45">
            <v>1298.07</v>
          </cell>
        </row>
        <row r="46">
          <cell r="D46" t="str">
            <v>Servente de Limpeza 150 horasITAJUBÁ / MG</v>
          </cell>
          <cell r="E46">
            <v>931.9</v>
          </cell>
          <cell r="F46">
            <v>1022.8</v>
          </cell>
          <cell r="G46">
            <v>1086.8900000000001</v>
          </cell>
          <cell r="K46">
            <v>1086.8900000000001</v>
          </cell>
        </row>
        <row r="47">
          <cell r="D47" t="str">
            <v>Servente de Limpeza 55 horasITAMONTE / MG</v>
          </cell>
          <cell r="E47">
            <v>410.46</v>
          </cell>
          <cell r="F47">
            <v>438.55</v>
          </cell>
          <cell r="G47">
            <v>431.86</v>
          </cell>
          <cell r="K47">
            <v>431.86</v>
          </cell>
        </row>
        <row r="48">
          <cell r="D48" t="str">
            <v>Servente de Limpeza 150 horasITAÚNA / MG</v>
          </cell>
          <cell r="E48">
            <v>931.9</v>
          </cell>
          <cell r="F48">
            <v>1022.8</v>
          </cell>
          <cell r="G48">
            <v>0</v>
          </cell>
          <cell r="K48">
            <v>0</v>
          </cell>
        </row>
        <row r="49">
          <cell r="D49" t="str">
            <v>Servente de Limpeza 220 horasITAÚNA / MG</v>
          </cell>
          <cell r="G49">
            <v>1298.07</v>
          </cell>
          <cell r="K49">
            <v>1298.07</v>
          </cell>
        </row>
        <row r="50">
          <cell r="D50" t="str">
            <v>Servente de Limpeza 150 horasITUIUTABA / MG</v>
          </cell>
          <cell r="E50">
            <v>953.38</v>
          </cell>
          <cell r="F50">
            <v>1046.3800000000001</v>
          </cell>
          <cell r="G50">
            <v>1111.95</v>
          </cell>
          <cell r="K50">
            <v>1111.95</v>
          </cell>
        </row>
        <row r="51">
          <cell r="D51" t="str">
            <v>Servente de Limpeza 150 horasJANAÚBA / MG</v>
          </cell>
          <cell r="E51">
            <v>931.9</v>
          </cell>
          <cell r="F51">
            <v>1022.8</v>
          </cell>
          <cell r="G51">
            <v>1086.8900000000001</v>
          </cell>
          <cell r="K51">
            <v>1086.8900000000001</v>
          </cell>
        </row>
        <row r="52">
          <cell r="D52" t="str">
            <v>Servente de Limpeza 110 horasJANUÁRIA / MG</v>
          </cell>
          <cell r="E52">
            <v>644.57000000000005</v>
          </cell>
          <cell r="F52">
            <v>700.75</v>
          </cell>
          <cell r="G52">
            <v>0</v>
          </cell>
          <cell r="K52">
            <v>0</v>
          </cell>
        </row>
        <row r="53">
          <cell r="D53" t="str">
            <v>Servente de Limpeza 150 horasJANUÁRIA / MG</v>
          </cell>
          <cell r="F53">
            <v>1034.46</v>
          </cell>
          <cell r="G53">
            <v>1099.27</v>
          </cell>
          <cell r="K53">
            <v>1099.27</v>
          </cell>
        </row>
        <row r="54">
          <cell r="D54" t="str">
            <v>Servente de Limpeza 220 horasJOÃO PINHEIRO / MG</v>
          </cell>
          <cell r="E54">
            <v>1112.78</v>
          </cell>
          <cell r="F54">
            <v>1225.1500000000001</v>
          </cell>
          <cell r="G54">
            <v>1312.86</v>
          </cell>
          <cell r="K54">
            <v>1312.86</v>
          </cell>
        </row>
        <row r="55">
          <cell r="D55" t="str">
            <v>Servente de Limpeza 220 horasJUIZ DE FORA / MG</v>
          </cell>
          <cell r="E55">
            <v>1153.46</v>
          </cell>
          <cell r="F55">
            <v>1210.6199999999999</v>
          </cell>
          <cell r="G55">
            <v>1327.6</v>
          </cell>
          <cell r="K55">
            <v>1327.6</v>
          </cell>
        </row>
        <row r="56">
          <cell r="D56" t="str">
            <v>Servente de Limpeza 220 horasLAVRAS / MG</v>
          </cell>
          <cell r="E56">
            <v>1112.78</v>
          </cell>
          <cell r="F56">
            <v>1225.1500000000001</v>
          </cell>
          <cell r="G56">
            <v>1312.87</v>
          </cell>
          <cell r="K56">
            <v>1312.87</v>
          </cell>
        </row>
        <row r="57">
          <cell r="D57" t="str">
            <v>Servente de Limpeza 220 horasLEOPOLDINA / MG</v>
          </cell>
          <cell r="E57">
            <v>1100.24</v>
          </cell>
          <cell r="F57">
            <v>1211.3499999999999</v>
          </cell>
          <cell r="G57">
            <v>1298.07</v>
          </cell>
          <cell r="K57">
            <v>1298.07</v>
          </cell>
        </row>
        <row r="58">
          <cell r="D58" t="str">
            <v>Servente de Limpeza 110 horasMACHADO / MG</v>
          </cell>
          <cell r="E58">
            <v>637.29999999999995</v>
          </cell>
          <cell r="F58">
            <v>692.86</v>
          </cell>
          <cell r="G58">
            <v>717.34</v>
          </cell>
          <cell r="K58">
            <v>717.34</v>
          </cell>
        </row>
        <row r="59">
          <cell r="D59" t="str">
            <v>Servente de Limpeza 220 horasMANGA/MG</v>
          </cell>
          <cell r="E59">
            <v>0</v>
          </cell>
          <cell r="F59">
            <v>0</v>
          </cell>
          <cell r="G59">
            <v>1312.85</v>
          </cell>
          <cell r="K59">
            <v>1312.85</v>
          </cell>
        </row>
        <row r="60">
          <cell r="D60" t="str">
            <v>Servente de Limpeza 220 horasMATEUS LEME / MG</v>
          </cell>
          <cell r="E60">
            <v>1130.92</v>
          </cell>
          <cell r="F60">
            <v>1245.67</v>
          </cell>
          <cell r="G60">
            <v>1336.51</v>
          </cell>
          <cell r="K60">
            <v>1336.51</v>
          </cell>
        </row>
        <row r="61">
          <cell r="D61" t="str">
            <v>Servente de Limpeza 220 horasMONTES CLAROS / MG</v>
          </cell>
          <cell r="E61">
            <v>1143.81</v>
          </cell>
          <cell r="F61">
            <v>1259.8900000000001</v>
          </cell>
          <cell r="G61">
            <v>1351.73</v>
          </cell>
          <cell r="K61">
            <v>1351.73</v>
          </cell>
        </row>
        <row r="62">
          <cell r="D62" t="str">
            <v>Servente de Limpeza 150 horasMONTES CLAROS / MG</v>
          </cell>
          <cell r="G62">
            <v>1131.0999999999999</v>
          </cell>
          <cell r="K62">
            <v>1131.0999999999999</v>
          </cell>
        </row>
        <row r="63">
          <cell r="D63" t="str">
            <v>Servente de Limpeza 55 horasMINAS NOVAS/MG</v>
          </cell>
          <cell r="G63">
            <v>431.87</v>
          </cell>
          <cell r="K63">
            <v>431.87</v>
          </cell>
        </row>
        <row r="64">
          <cell r="D64" t="str">
            <v>Servente de Limpeza 220 horasMorada Nova de Minas</v>
          </cell>
          <cell r="E64">
            <v>1100.24</v>
          </cell>
          <cell r="F64">
            <v>1211.3499999999999</v>
          </cell>
          <cell r="G64">
            <v>1298.07</v>
          </cell>
          <cell r="K64">
            <v>1298.07</v>
          </cell>
        </row>
        <row r="65">
          <cell r="D65" t="str">
            <v>Servente de Limpeza 110 horasMURIAE / MG</v>
          </cell>
          <cell r="E65">
            <v>644.57000000000005</v>
          </cell>
          <cell r="F65">
            <v>700.75</v>
          </cell>
          <cell r="G65">
            <v>725.52</v>
          </cell>
          <cell r="K65">
            <v>725.52</v>
          </cell>
        </row>
        <row r="66">
          <cell r="D66" t="str">
            <v>Servente de Limpeza 220 horasNova Lima / MG</v>
          </cell>
          <cell r="E66">
            <v>1143.81</v>
          </cell>
          <cell r="F66">
            <v>1259.8699999999999</v>
          </cell>
          <cell r="G66">
            <v>1351.74</v>
          </cell>
          <cell r="K66">
            <v>1351.74</v>
          </cell>
        </row>
        <row r="67">
          <cell r="D67" t="str">
            <v>Servente de Limpeza 150 horasNova Lima / MG</v>
          </cell>
          <cell r="E67">
            <v>1062.8800000000001</v>
          </cell>
          <cell r="F67">
            <v>1062.8800000000001</v>
          </cell>
          <cell r="G67">
            <v>1131.0999999999999</v>
          </cell>
          <cell r="K67">
            <v>1131.0999999999999</v>
          </cell>
        </row>
        <row r="68">
          <cell r="D68" t="str">
            <v>Servente de Limpeza 150 horasNOVA PONTE / MG</v>
          </cell>
          <cell r="E68">
            <v>931.9</v>
          </cell>
          <cell r="F68">
            <v>1022.8</v>
          </cell>
          <cell r="G68">
            <v>1086.8900000000001</v>
          </cell>
          <cell r="K68">
            <v>1086.8900000000001</v>
          </cell>
        </row>
        <row r="69">
          <cell r="D69" t="str">
            <v>Nova Serrana / MG</v>
          </cell>
          <cell r="E69">
            <v>0</v>
          </cell>
          <cell r="F69">
            <v>0</v>
          </cell>
          <cell r="G69">
            <v>0</v>
          </cell>
          <cell r="K69">
            <v>0</v>
          </cell>
        </row>
        <row r="70">
          <cell r="D70" t="str">
            <v>Oliveira</v>
          </cell>
          <cell r="E70">
            <v>0</v>
          </cell>
          <cell r="F70">
            <v>0</v>
          </cell>
          <cell r="G70">
            <v>0</v>
          </cell>
          <cell r="K70">
            <v>0</v>
          </cell>
        </row>
        <row r="71">
          <cell r="D71" t="str">
            <v>Servente de Limpeza 220 horasOURO PRETO / MG</v>
          </cell>
          <cell r="E71">
            <v>1112.78</v>
          </cell>
          <cell r="F71">
            <v>1225.1500000000001</v>
          </cell>
          <cell r="G71">
            <v>1312.86</v>
          </cell>
          <cell r="K71">
            <v>1312.86</v>
          </cell>
        </row>
        <row r="72">
          <cell r="D72" t="str">
            <v>Servente de Limpeza 220 horasPARÁ DE MINAS / MG</v>
          </cell>
          <cell r="E72">
            <v>1112.78</v>
          </cell>
          <cell r="F72">
            <v>1225.1500000000001</v>
          </cell>
          <cell r="G72">
            <v>1312.86</v>
          </cell>
          <cell r="K72">
            <v>1312.86</v>
          </cell>
        </row>
        <row r="73">
          <cell r="D73" t="str">
            <v>Paracatu / MG</v>
          </cell>
          <cell r="E73">
            <v>0</v>
          </cell>
          <cell r="F73">
            <v>0</v>
          </cell>
          <cell r="G73">
            <v>0</v>
          </cell>
          <cell r="K73">
            <v>0</v>
          </cell>
        </row>
        <row r="74">
          <cell r="D74" t="str">
            <v>Servente de Limpeza 220 horasPASSOS / MG</v>
          </cell>
          <cell r="E74">
            <v>1112.78</v>
          </cell>
          <cell r="F74">
            <v>1225.1500000000001</v>
          </cell>
          <cell r="G74">
            <v>1312.86</v>
          </cell>
          <cell r="K74">
            <v>1312.86</v>
          </cell>
        </row>
        <row r="75">
          <cell r="D75" t="str">
            <v>Servente de Limpeza 220 horasPATOS DE MINAS / MG</v>
          </cell>
          <cell r="E75">
            <v>1100.24</v>
          </cell>
          <cell r="F75">
            <v>1211.3499999999999</v>
          </cell>
          <cell r="G75">
            <v>1298.07</v>
          </cell>
          <cell r="K75">
            <v>1298.07</v>
          </cell>
        </row>
        <row r="76">
          <cell r="D76" t="str">
            <v>Servente de Limpeza 110 horasPATOS DE MINAS / MG</v>
          </cell>
          <cell r="E76">
            <v>637.29999999999995</v>
          </cell>
          <cell r="F76">
            <v>692.86</v>
          </cell>
          <cell r="G76">
            <v>717.34</v>
          </cell>
          <cell r="K76">
            <v>717.34</v>
          </cell>
        </row>
        <row r="77">
          <cell r="D77" t="str">
            <v>Servente de Limpeza 220 horasPEDRO LEOPOLDO / MG</v>
          </cell>
          <cell r="E77">
            <v>1130.92</v>
          </cell>
          <cell r="F77">
            <v>1245.69</v>
          </cell>
          <cell r="G77">
            <v>1336.51</v>
          </cell>
          <cell r="K77">
            <v>1336.51</v>
          </cell>
        </row>
        <row r="78">
          <cell r="D78" t="str">
            <v>Servente de Limpeza 220 horasPirapetinga / MG</v>
          </cell>
          <cell r="E78">
            <v>1100.24</v>
          </cell>
          <cell r="F78">
            <v>1211.3499999999999</v>
          </cell>
          <cell r="G78">
            <v>0</v>
          </cell>
          <cell r="K78">
            <v>0</v>
          </cell>
        </row>
        <row r="79">
          <cell r="D79" t="str">
            <v>Servente de Limpeza 55 horasPitangui/MG</v>
          </cell>
          <cell r="E79">
            <v>0</v>
          </cell>
          <cell r="F79">
            <v>433.61</v>
          </cell>
          <cell r="G79">
            <v>427</v>
          </cell>
          <cell r="K79">
            <v>427</v>
          </cell>
        </row>
        <row r="80">
          <cell r="D80" t="str">
            <v xml:space="preserve">Servente de Limpeza 55 horasPIUNHI / MG </v>
          </cell>
          <cell r="E80">
            <v>0</v>
          </cell>
          <cell r="F80">
            <v>448.77</v>
          </cell>
          <cell r="G80">
            <v>441.94</v>
          </cell>
          <cell r="K80">
            <v>441.94</v>
          </cell>
        </row>
        <row r="81">
          <cell r="D81" t="str">
            <v>Servente de Limpeza 55 horasPOÇOS FUNDO/MG</v>
          </cell>
          <cell r="E81">
            <v>0</v>
          </cell>
          <cell r="F81">
            <v>438.54</v>
          </cell>
          <cell r="G81">
            <v>431.87</v>
          </cell>
          <cell r="K81">
            <v>431.87</v>
          </cell>
        </row>
        <row r="82">
          <cell r="D82" t="str">
            <v>Servente de Limpeza 220 horasPOÇOS DE CALDAS / MG</v>
          </cell>
          <cell r="E82">
            <v>1138.73</v>
          </cell>
          <cell r="F82">
            <v>1253.73</v>
          </cell>
          <cell r="G82">
            <v>1343.48</v>
          </cell>
          <cell r="K82">
            <v>1343.48</v>
          </cell>
        </row>
        <row r="83">
          <cell r="D83" t="str">
            <v>Servente de Limpeza 220 horasPONTE NOVA / MG</v>
          </cell>
          <cell r="E83">
            <v>1112.78</v>
          </cell>
          <cell r="F83">
            <v>1225.1500000000001</v>
          </cell>
          <cell r="G83">
            <v>1312.86</v>
          </cell>
          <cell r="K83">
            <v>1312.86</v>
          </cell>
        </row>
        <row r="84">
          <cell r="D84" t="str">
            <v>Servente de Limpeza 150 horasPONTE NOVA / MG</v>
          </cell>
          <cell r="E84">
            <v>942.52</v>
          </cell>
          <cell r="F84">
            <v>1034.46</v>
          </cell>
          <cell r="G84">
            <v>1099.27</v>
          </cell>
          <cell r="K84">
            <v>1099.27</v>
          </cell>
        </row>
        <row r="85">
          <cell r="D85" t="str">
            <v>Servente de Limpeza 110 horasPORTEIRINHA/MG</v>
          </cell>
          <cell r="E85">
            <v>0</v>
          </cell>
          <cell r="F85">
            <v>0</v>
          </cell>
          <cell r="G85">
            <v>725.53</v>
          </cell>
          <cell r="K85">
            <v>725.53</v>
          </cell>
        </row>
        <row r="86">
          <cell r="D86" t="str">
            <v>Servente de Limpeza 220 horasPouso Alegre / MG</v>
          </cell>
          <cell r="E86">
            <v>1100.24</v>
          </cell>
          <cell r="F86">
            <v>1211.3499999999999</v>
          </cell>
          <cell r="G86">
            <v>1298.07</v>
          </cell>
          <cell r="K86">
            <v>1298.07</v>
          </cell>
        </row>
        <row r="87">
          <cell r="D87" t="str">
            <v>Servente de Limpeza 220 horasRIBEIRÃO DAS NEVES/MG</v>
          </cell>
          <cell r="E87">
            <v>1170.49</v>
          </cell>
          <cell r="F87">
            <v>1289.25</v>
          </cell>
          <cell r="G87">
            <v>1383.27</v>
          </cell>
          <cell r="K87">
            <v>1383.27</v>
          </cell>
        </row>
        <row r="88">
          <cell r="D88" t="str">
            <v>Servente de Limpeza 110 horasRIBEIRÃO DAS NEVES/MG</v>
          </cell>
          <cell r="F88">
            <v>734.86</v>
          </cell>
          <cell r="G88">
            <v>762.34</v>
          </cell>
          <cell r="K88">
            <v>762.34</v>
          </cell>
        </row>
        <row r="89">
          <cell r="D89" t="str">
            <v>Servente de Limpeza 55 horasSACRAMENTO / MG</v>
          </cell>
          <cell r="E89">
            <v>410.46</v>
          </cell>
          <cell r="F89">
            <v>438.55</v>
          </cell>
          <cell r="G89">
            <v>431.87</v>
          </cell>
          <cell r="K89">
            <v>431.87</v>
          </cell>
        </row>
        <row r="90">
          <cell r="D90" t="str">
            <v>Servente de Limpeza 110 horasSACRAMENTO / MG</v>
          </cell>
          <cell r="K90">
            <v>0</v>
          </cell>
        </row>
        <row r="91">
          <cell r="D91" t="str">
            <v>Santa Luzia / MG</v>
          </cell>
          <cell r="E91">
            <v>0</v>
          </cell>
          <cell r="F91">
            <v>0</v>
          </cell>
          <cell r="G91">
            <v>0</v>
          </cell>
          <cell r="K91">
            <v>0</v>
          </cell>
        </row>
        <row r="92">
          <cell r="D92" t="str">
            <v>Servente de Limpeza 55 horasSANTA RITA SAPUCAÍ / MG</v>
          </cell>
          <cell r="E92">
            <v>410.46</v>
          </cell>
          <cell r="F92">
            <v>438.55</v>
          </cell>
          <cell r="G92">
            <v>431.86</v>
          </cell>
          <cell r="K92">
            <v>431.86</v>
          </cell>
        </row>
        <row r="93">
          <cell r="D93" t="str">
            <v>Servente de Limpeza 55 horasSANTA VITÓRIA / MG</v>
          </cell>
          <cell r="E93">
            <v>415.19</v>
          </cell>
          <cell r="F93">
            <v>443.61</v>
          </cell>
          <cell r="G93">
            <v>436.84</v>
          </cell>
          <cell r="K93">
            <v>436.84</v>
          </cell>
        </row>
        <row r="94">
          <cell r="D94" t="str">
            <v>Servente de Limpeza 150 horasSANTO ANTÔNIO DO MONTE / MG</v>
          </cell>
          <cell r="E94">
            <v>942.52</v>
          </cell>
          <cell r="F94">
            <v>1034.46</v>
          </cell>
          <cell r="G94">
            <v>1099.27</v>
          </cell>
          <cell r="K94">
            <v>1099.27</v>
          </cell>
        </row>
        <row r="95">
          <cell r="D95" t="str">
            <v>Santos Dumont / MG</v>
          </cell>
          <cell r="E95">
            <v>0</v>
          </cell>
          <cell r="F95">
            <v>0</v>
          </cell>
          <cell r="G95">
            <v>0</v>
          </cell>
          <cell r="K95">
            <v>0</v>
          </cell>
        </row>
        <row r="96">
          <cell r="D96" t="str">
            <v>Servente de Limpeza 150 horasSÃO FRANCISCO / MG</v>
          </cell>
          <cell r="E96">
            <v>931.9</v>
          </cell>
          <cell r="F96">
            <v>1022.8</v>
          </cell>
          <cell r="G96">
            <v>1086.8900000000001</v>
          </cell>
          <cell r="K96">
            <v>1086.8900000000001</v>
          </cell>
        </row>
        <row r="97">
          <cell r="D97" t="str">
            <v>Servente de Limpeza 55 horasSÃO GONÇALO DO SAPUCAÍ / MG</v>
          </cell>
          <cell r="E97">
            <v>405.83</v>
          </cell>
          <cell r="F97">
            <v>433.61</v>
          </cell>
          <cell r="G97">
            <v>427</v>
          </cell>
          <cell r="K97">
            <v>427</v>
          </cell>
        </row>
        <row r="98">
          <cell r="D98" t="str">
            <v>Servente de Limpeza 220 horasSÃO JOAO DEL REI</v>
          </cell>
          <cell r="E98">
            <v>1100.24</v>
          </cell>
          <cell r="F98">
            <v>1211.3499999999999</v>
          </cell>
          <cell r="G98">
            <v>1298.07</v>
          </cell>
          <cell r="K98">
            <v>1298.07</v>
          </cell>
        </row>
        <row r="99">
          <cell r="D99" t="str">
            <v>Servente de Limpeza 110 horasSÃO LOURENÇO / MG</v>
          </cell>
          <cell r="E99">
            <v>644.57000000000005</v>
          </cell>
          <cell r="F99">
            <v>700.75</v>
          </cell>
          <cell r="G99">
            <v>744.97</v>
          </cell>
          <cell r="K99">
            <v>744.97</v>
          </cell>
        </row>
        <row r="100">
          <cell r="D100" t="str">
            <v>Servente de Limpeza 150 horasSÃO SEBASTIÃO DO PARAÍSO / MG</v>
          </cell>
          <cell r="E100">
            <v>942.52</v>
          </cell>
          <cell r="F100">
            <v>1034.46</v>
          </cell>
          <cell r="G100">
            <v>1099.27</v>
          </cell>
          <cell r="K100">
            <v>1099.27</v>
          </cell>
        </row>
        <row r="101">
          <cell r="D101" t="str">
            <v>Servente de Limpeza 220 horasSETE LAGOAS / MG</v>
          </cell>
          <cell r="E101">
            <v>1143.81</v>
          </cell>
          <cell r="F101">
            <v>1259.8900000000001</v>
          </cell>
          <cell r="G101">
            <v>1351.73</v>
          </cell>
          <cell r="K101">
            <v>1351.73</v>
          </cell>
        </row>
        <row r="102">
          <cell r="D102" t="str">
            <v>Servente de Limpeza 150 horasSETE LAGOAS / MG</v>
          </cell>
          <cell r="G102">
            <v>1131.0999999999999</v>
          </cell>
          <cell r="K102">
            <v>1131.0999999999999</v>
          </cell>
        </row>
        <row r="103">
          <cell r="D103" t="str">
            <v>Servente de Limpeza 220 horasTEÓFILO OTONI / MG</v>
          </cell>
          <cell r="E103">
            <v>1112.78</v>
          </cell>
          <cell r="F103">
            <v>1225.1500000000001</v>
          </cell>
          <cell r="G103">
            <v>1312.86</v>
          </cell>
          <cell r="K103">
            <v>1312.86</v>
          </cell>
        </row>
        <row r="104">
          <cell r="D104" t="str">
            <v>Servente de Limpeza 150 horasTEÓFILO OTONI / MG</v>
          </cell>
          <cell r="E104">
            <v>942.52</v>
          </cell>
          <cell r="F104">
            <v>1034.46</v>
          </cell>
          <cell r="G104">
            <v>1099.27</v>
          </cell>
          <cell r="K104">
            <v>1099.27</v>
          </cell>
        </row>
        <row r="105">
          <cell r="D105" t="str">
            <v>Servente de Limpeza 110 horasTUPACIGUARA / MG</v>
          </cell>
          <cell r="E105">
            <v>637.29999999999995</v>
          </cell>
          <cell r="F105">
            <v>692.86</v>
          </cell>
          <cell r="G105">
            <v>717.35</v>
          </cell>
          <cell r="K105">
            <v>717.35</v>
          </cell>
        </row>
        <row r="106">
          <cell r="D106" t="str">
            <v>Servente de Limpeza 110 horasTRES PONTAS / MG</v>
          </cell>
          <cell r="E106">
            <v>640.91</v>
          </cell>
          <cell r="F106">
            <v>696.78</v>
          </cell>
          <cell r="G106">
            <v>721.41</v>
          </cell>
          <cell r="K106">
            <v>721.41</v>
          </cell>
        </row>
        <row r="107">
          <cell r="D107" t="str">
            <v>Servente de Limpeza 150 horasUBÁ / MG</v>
          </cell>
          <cell r="E107">
            <v>942.52</v>
          </cell>
          <cell r="F107">
            <v>1034.46</v>
          </cell>
          <cell r="G107">
            <v>1099.27</v>
          </cell>
          <cell r="K107">
            <v>1099.27</v>
          </cell>
        </row>
        <row r="108">
          <cell r="D108" t="str">
            <v>Servente de Limpeza 220 horasUBÁ / MG</v>
          </cell>
          <cell r="F108">
            <v>1225.1500000000001</v>
          </cell>
          <cell r="G108">
            <v>1312.86</v>
          </cell>
          <cell r="K108">
            <v>1312.86</v>
          </cell>
        </row>
        <row r="109">
          <cell r="D109" t="str">
            <v>Servente de Limpeza 220 horasUBERABA / MG</v>
          </cell>
          <cell r="E109">
            <v>1143.81</v>
          </cell>
          <cell r="F109">
            <v>1259.8900000000001</v>
          </cell>
          <cell r="G109">
            <v>1351.74</v>
          </cell>
          <cell r="K109">
            <v>1351.74</v>
          </cell>
        </row>
        <row r="110">
          <cell r="D110" t="str">
            <v>Servente de Limpeza 110 horasUBERABA / MG</v>
          </cell>
          <cell r="F110">
            <v>447.24</v>
          </cell>
          <cell r="G110">
            <v>744.97</v>
          </cell>
          <cell r="K110">
            <v>744.97</v>
          </cell>
        </row>
        <row r="111">
          <cell r="D111" t="str">
            <v>Servente de Limpeza 220 horasUBERLÂNDIA / MG</v>
          </cell>
          <cell r="E111">
            <v>1143.81</v>
          </cell>
          <cell r="F111">
            <v>1259.8900000000001</v>
          </cell>
          <cell r="G111">
            <v>1351.75</v>
          </cell>
          <cell r="K111">
            <v>1351.75</v>
          </cell>
        </row>
        <row r="112">
          <cell r="D112" t="str">
            <v>Servente de Limpeza 220 horasVARGINHA / MG</v>
          </cell>
          <cell r="E112">
            <v>1112.78</v>
          </cell>
          <cell r="F112">
            <v>1225.1500000000001</v>
          </cell>
          <cell r="G112">
            <v>1312.87</v>
          </cell>
          <cell r="K112">
            <v>1312.87</v>
          </cell>
        </row>
        <row r="113">
          <cell r="D113" t="str">
            <v>Servente de Limpeza 220 horasVESPASIANO / MG</v>
          </cell>
          <cell r="E113">
            <v>1143.81</v>
          </cell>
          <cell r="F113">
            <v>1259.8900000000001</v>
          </cell>
          <cell r="G113">
            <v>1351.74</v>
          </cell>
          <cell r="K113">
            <v>1351.74</v>
          </cell>
        </row>
        <row r="114">
          <cell r="D114" t="str">
            <v>Servente de Limpeza 150 horasVIÇOSA / MG</v>
          </cell>
          <cell r="E114">
            <v>942.52</v>
          </cell>
          <cell r="F114">
            <v>1034.46</v>
          </cell>
          <cell r="G114">
            <v>1099.27</v>
          </cell>
          <cell r="K114">
            <v>1099.27</v>
          </cell>
        </row>
        <row r="115">
          <cell r="D115" t="str">
            <v>Auxiliar de Manutenção PredialBELO HORIZONTE / MG</v>
          </cell>
          <cell r="E115">
            <v>956.55</v>
          </cell>
          <cell r="F115">
            <v>1071.31</v>
          </cell>
          <cell r="G115">
            <v>1199.8699999999999</v>
          </cell>
          <cell r="K115">
            <v>1199.8699999999999</v>
          </cell>
        </row>
        <row r="116">
          <cell r="D116" t="str">
            <v>Bombeiro HidráulicoBELO HORIZONTE / MG</v>
          </cell>
          <cell r="E116">
            <v>1774.15</v>
          </cell>
          <cell r="F116">
            <v>1965.25</v>
          </cell>
          <cell r="G116">
            <v>2219.1799999999998</v>
          </cell>
          <cell r="K116">
            <v>2219.1799999999998</v>
          </cell>
        </row>
        <row r="117">
          <cell r="D117" t="str">
            <v>EletricistaBELO HORIZONTE / MG</v>
          </cell>
          <cell r="E117">
            <v>2070.29</v>
          </cell>
          <cell r="F117">
            <v>2318.7199999999998</v>
          </cell>
          <cell r="G117">
            <v>2596.9699999999998</v>
          </cell>
          <cell r="K117">
            <v>2596.9699999999998</v>
          </cell>
        </row>
        <row r="118">
          <cell r="D118" t="str">
            <v>Encarregado de LimpezaBELO HORIZONTE / MG</v>
          </cell>
          <cell r="E118">
            <v>1714.5</v>
          </cell>
          <cell r="F118">
            <v>1920.24</v>
          </cell>
          <cell r="G118">
            <v>2150.67</v>
          </cell>
          <cell r="K118">
            <v>2150.67</v>
          </cell>
        </row>
        <row r="119">
          <cell r="D119" t="str">
            <v>JardineiroBELO HORIZONTE / MG</v>
          </cell>
          <cell r="E119">
            <v>1588.69</v>
          </cell>
          <cell r="F119">
            <v>1748.51</v>
          </cell>
          <cell r="G119">
            <v>1892.15</v>
          </cell>
          <cell r="K119">
            <v>1892.15</v>
          </cell>
        </row>
        <row r="120">
          <cell r="D120" t="str">
            <v>Lavador de VeículosBELO HORIZONTE / MG</v>
          </cell>
          <cell r="E120">
            <v>1138.18</v>
          </cell>
          <cell r="F120">
            <v>1252.93</v>
          </cell>
          <cell r="G120">
            <v>1421.38</v>
          </cell>
          <cell r="K120">
            <v>1421.38</v>
          </cell>
        </row>
        <row r="121">
          <cell r="D121" t="str">
            <v>Limpador de vidros (internos)BELO HORIZONTE / MG</v>
          </cell>
          <cell r="E121">
            <v>1047.45</v>
          </cell>
          <cell r="F121">
            <v>1173.1500000000001</v>
          </cell>
          <cell r="G121">
            <v>1313.98</v>
          </cell>
          <cell r="K121">
            <v>1313.98</v>
          </cell>
        </row>
        <row r="122">
          <cell r="D122" t="str">
            <v>MarceneiroBELO HORIZONTE / MG</v>
          </cell>
          <cell r="E122">
            <v>1774.15</v>
          </cell>
          <cell r="F122">
            <v>1965.25</v>
          </cell>
          <cell r="G122">
            <v>2219.1799999999998</v>
          </cell>
          <cell r="K122">
            <v>2219.1799999999998</v>
          </cell>
        </row>
        <row r="123">
          <cell r="D123" t="str">
            <v>PedreiroBELO HORIZONTE / MG</v>
          </cell>
          <cell r="E123">
            <v>1592.53</v>
          </cell>
          <cell r="F123">
            <v>1783.63</v>
          </cell>
          <cell r="G123">
            <v>1997.67</v>
          </cell>
          <cell r="K123">
            <v>1997.67</v>
          </cell>
        </row>
        <row r="124">
          <cell r="D124" t="str">
            <v>PintorBELO HORIZONTE / MG</v>
          </cell>
          <cell r="E124">
            <v>1774.15</v>
          </cell>
          <cell r="F124">
            <v>1965.25</v>
          </cell>
          <cell r="G124">
            <v>2219.1799999999998</v>
          </cell>
          <cell r="K124">
            <v>2219.1799999999998</v>
          </cell>
        </row>
        <row r="125">
          <cell r="D125" t="str">
            <v>Servente de Limpeza 220 horasBELO HORIZONTE / MG</v>
          </cell>
          <cell r="E125">
            <v>1130.92</v>
          </cell>
          <cell r="F125">
            <v>1245.67</v>
          </cell>
          <cell r="G125">
            <v>1336.5</v>
          </cell>
          <cell r="K125">
            <v>1336.5</v>
          </cell>
        </row>
        <row r="126">
          <cell r="D126" t="str">
            <v>Servente de Limpeza 110 horasBELO HORIZONTE / MG</v>
          </cell>
          <cell r="E126">
            <v>652.63</v>
          </cell>
          <cell r="F126">
            <v>710.03</v>
          </cell>
          <cell r="G126">
            <v>736.58</v>
          </cell>
          <cell r="K126">
            <v>736.58</v>
          </cell>
        </row>
        <row r="127">
          <cell r="D127" t="str">
            <v>Servente de Limpeza 150 horasBELO HORIZONTE / MG</v>
          </cell>
          <cell r="E127">
            <v>957</v>
          </cell>
          <cell r="F127">
            <v>1050.9000000000001</v>
          </cell>
          <cell r="G127">
            <v>1118.3599999999999</v>
          </cell>
          <cell r="K127">
            <v>1118.3599999999999</v>
          </cell>
        </row>
        <row r="128">
          <cell r="D128" t="str">
            <v>Servente de Limpeza 55 horasCLÁUDIO / MG</v>
          </cell>
          <cell r="E128">
            <v>410.46</v>
          </cell>
          <cell r="F128">
            <v>438.55</v>
          </cell>
          <cell r="G128">
            <v>431.87</v>
          </cell>
          <cell r="K128">
            <v>431.87</v>
          </cell>
        </row>
        <row r="129">
          <cell r="D129" t="str">
            <v>Servente de Limpeza 55 horasOURO FINO / MG</v>
          </cell>
          <cell r="F129">
            <v>448.78</v>
          </cell>
          <cell r="G129">
            <v>441.94</v>
          </cell>
          <cell r="K129">
            <v>441.94</v>
          </cell>
        </row>
        <row r="130">
          <cell r="D130" t="str">
            <v>Servente de Limpeza 55 horasMONTE AZUL/MG</v>
          </cell>
          <cell r="E130">
            <v>410.46</v>
          </cell>
          <cell r="F130">
            <v>438.55</v>
          </cell>
          <cell r="G130">
            <v>431.86</v>
          </cell>
          <cell r="K130">
            <v>431.86</v>
          </cell>
        </row>
        <row r="131">
          <cell r="D131" t="str">
            <v>Servente de Limpeza 55 horasLUZ / MG</v>
          </cell>
          <cell r="E131">
            <v>410.46</v>
          </cell>
          <cell r="F131">
            <v>438.55</v>
          </cell>
          <cell r="G131">
            <v>431.87</v>
          </cell>
          <cell r="K131">
            <v>431.87</v>
          </cell>
        </row>
        <row r="132">
          <cell r="D132" t="str">
            <v>Servente de Limpeza 110 horasANDRADAS/MG</v>
          </cell>
          <cell r="G132">
            <v>742.44</v>
          </cell>
          <cell r="K132">
            <v>742.44</v>
          </cell>
        </row>
        <row r="133">
          <cell r="D133" t="str">
            <v>Servente de Limpeza 110 horasCAETÉ/MG</v>
          </cell>
          <cell r="F133">
            <v>718.12</v>
          </cell>
          <cell r="G133">
            <v>744.97</v>
          </cell>
          <cell r="K133">
            <v>744.97</v>
          </cell>
        </row>
        <row r="134">
          <cell r="D134" t="str">
            <v>Servente de Limpeza 55 horasMIRAÍ/MG</v>
          </cell>
          <cell r="G134">
            <v>431.87</v>
          </cell>
          <cell r="K134">
            <v>431.87</v>
          </cell>
        </row>
        <row r="135">
          <cell r="D135" t="str">
            <v>Servente de Limpeza 55 horasARINOS/MG</v>
          </cell>
          <cell r="G135">
            <v>431.87</v>
          </cell>
          <cell r="K135">
            <v>431.87</v>
          </cell>
        </row>
        <row r="136">
          <cell r="D136" t="str">
            <v>Servente de Limpeza 55 horasITAGUARA/MG</v>
          </cell>
          <cell r="G136">
            <v>427</v>
          </cell>
          <cell r="K136">
            <v>427</v>
          </cell>
        </row>
        <row r="137">
          <cell r="D137" t="str">
            <v>Servente de Limpeza 55 horasITAMBACURI/MG</v>
          </cell>
          <cell r="G137">
            <v>431.87</v>
          </cell>
          <cell r="K137">
            <v>431.87</v>
          </cell>
        </row>
        <row r="138">
          <cell r="D138" t="str">
            <v>Servente de Limpeza 110 horasOLIVEIRA/MG</v>
          </cell>
          <cell r="G138">
            <v>725.52</v>
          </cell>
          <cell r="K138">
            <v>725.52</v>
          </cell>
        </row>
        <row r="139">
          <cell r="D139" t="str">
            <v>Servente de Limpeza 55 horasRESPLENDOR/MG</v>
          </cell>
          <cell r="G139">
            <v>441.94</v>
          </cell>
          <cell r="K139">
            <v>441.94</v>
          </cell>
        </row>
        <row r="140">
          <cell r="D140" t="str">
            <v>Servente de Limpeza 55 horasIGARAPÉ/MG</v>
          </cell>
          <cell r="G140">
            <v>441.59</v>
          </cell>
          <cell r="K140">
            <v>441.59</v>
          </cell>
        </row>
        <row r="141">
          <cell r="D141" t="str">
            <v>Servente de Limpeza 55 horasSÃO JOÃO DA PONTE/MG</v>
          </cell>
          <cell r="G141">
            <v>431.86</v>
          </cell>
          <cell r="K141">
            <v>431.86</v>
          </cell>
        </row>
        <row r="142">
          <cell r="D142" t="str">
            <v>Servente de Limpeza 220 horasCANÁPOLIS/MG</v>
          </cell>
          <cell r="G142">
            <v>1267.4100000000001</v>
          </cell>
          <cell r="K142">
            <v>1267.4100000000001</v>
          </cell>
        </row>
        <row r="143">
          <cell r="D143" t="str">
            <v>Servente de Limpeza 55 horasCARMOPOLIS DE MINAS/MG</v>
          </cell>
          <cell r="G143">
            <v>441.94</v>
          </cell>
          <cell r="K143">
            <v>441.94</v>
          </cell>
        </row>
        <row r="144">
          <cell r="D144" t="str">
            <v>Servente de Limpeza 55 horasMARTINHO CAMPOS/MG</v>
          </cell>
          <cell r="G144">
            <v>431.87</v>
          </cell>
          <cell r="K144">
            <v>431.87</v>
          </cell>
        </row>
        <row r="145">
          <cell r="D145" t="str">
            <v>Servente de Limpeza 55 horasCAPELINHA/MG</v>
          </cell>
          <cell r="E145">
            <v>410.46</v>
          </cell>
          <cell r="F145">
            <v>438.55</v>
          </cell>
          <cell r="G145">
            <v>431.87</v>
          </cell>
          <cell r="K145">
            <v>431.87</v>
          </cell>
        </row>
        <row r="146">
          <cell r="D146" t="str">
            <v>Servente de Limpeza 55 horasCONSELHEIRO PENA/MG</v>
          </cell>
          <cell r="G146">
            <v>431.87</v>
          </cell>
          <cell r="K146">
            <v>431.87</v>
          </cell>
        </row>
        <row r="147">
          <cell r="D147" t="str">
            <v>Servente de Limpeza 110 horasITURAMA/MG</v>
          </cell>
          <cell r="G147">
            <v>717.35</v>
          </cell>
          <cell r="K147">
            <v>717.35</v>
          </cell>
        </row>
      </sheetData>
      <sheetData sheetId="4"/>
      <sheetData sheetId="5"/>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OIO "/>
      <sheetName val="CUSTO LOTE 1"/>
      <sheetName val="LIMPEZA "/>
      <sheetName val="CUSTO LOTE 2"/>
      <sheetName val="LOTE 1"/>
      <sheetName val="LOTE 2"/>
      <sheetName val="JUN-2012"/>
      <sheetName val="MIX"/>
      <sheetName val="Plan1"/>
      <sheetName val="MIX "/>
    </sheetNames>
    <sheetDataSet>
      <sheetData sheetId="0" refreshError="1"/>
      <sheetData sheetId="1" refreshError="1"/>
      <sheetData sheetId="2" refreshError="1"/>
      <sheetData sheetId="3" refreshError="1"/>
      <sheetData sheetId="4" refreshError="1">
        <row r="3">
          <cell r="D3" t="str">
            <v>FUNÇÕES/LOCALIDADE</v>
          </cell>
          <cell r="E3" t="str">
            <v>Valor Unitário</v>
          </cell>
          <cell r="F3" t="str">
            <v>Valor Unitário</v>
          </cell>
          <cell r="G3" t="str">
            <v>Valor Unitário</v>
          </cell>
        </row>
        <row r="4">
          <cell r="D4" t="str">
            <v>Águas Formosas</v>
          </cell>
          <cell r="E4">
            <v>0</v>
          </cell>
          <cell r="G4">
            <v>0</v>
          </cell>
        </row>
        <row r="5">
          <cell r="D5" t="str">
            <v>Aiuruoca</v>
          </cell>
          <cell r="E5">
            <v>0</v>
          </cell>
          <cell r="G5">
            <v>0</v>
          </cell>
        </row>
        <row r="6">
          <cell r="D6" t="str">
            <v>Auxiliar de Serviços GeraisAlfenas</v>
          </cell>
          <cell r="E6">
            <v>925.87</v>
          </cell>
          <cell r="F6">
            <v>1036.98</v>
          </cell>
          <cell r="G6">
            <v>1161.43</v>
          </cell>
        </row>
        <row r="7">
          <cell r="D7" t="str">
            <v>Porteiro 220 horasALMENARA / MG</v>
          </cell>
          <cell r="E7">
            <v>0</v>
          </cell>
          <cell r="F7">
            <v>1465.92</v>
          </cell>
          <cell r="G7">
            <v>1641.84</v>
          </cell>
        </row>
        <row r="8">
          <cell r="D8" t="str">
            <v>Porteiro 220 horasARAÇUAI / MG</v>
          </cell>
          <cell r="E8">
            <v>1308.8599999999999</v>
          </cell>
          <cell r="F8">
            <v>1465.92</v>
          </cell>
          <cell r="G8">
            <v>1641.84</v>
          </cell>
        </row>
        <row r="9">
          <cell r="D9" t="str">
            <v>Auxiliar de Serviços GeraisARAGUARI / MG</v>
          </cell>
          <cell r="E9">
            <v>936.43</v>
          </cell>
          <cell r="F9">
            <v>1048.8</v>
          </cell>
          <cell r="G9">
            <v>1174.67</v>
          </cell>
        </row>
        <row r="10">
          <cell r="D10" t="str">
            <v>Porteiro 220 horasARAGUARI / MG</v>
          </cell>
          <cell r="E10">
            <v>1308.8599999999999</v>
          </cell>
          <cell r="F10">
            <v>1465.92</v>
          </cell>
          <cell r="G10">
            <v>1641.83</v>
          </cell>
        </row>
        <row r="11">
          <cell r="D11" t="str">
            <v>Auxiliar de Serviços GeraisARAXÁ / MG</v>
          </cell>
          <cell r="E11">
            <v>956.55</v>
          </cell>
          <cell r="F11">
            <v>1071.32</v>
          </cell>
          <cell r="G11">
            <v>1199.8699999999999</v>
          </cell>
        </row>
        <row r="12">
          <cell r="D12" t="str">
            <v>Porteiro 150 horasARAXÁ / MG</v>
          </cell>
          <cell r="E12">
            <v>1013.05</v>
          </cell>
          <cell r="F12">
            <v>1134.6400000000001</v>
          </cell>
          <cell r="G12">
            <v>1270.78</v>
          </cell>
        </row>
        <row r="13">
          <cell r="D13" t="str">
            <v>RecepcionistaARAXÁ / MG</v>
          </cell>
          <cell r="E13">
            <v>1970.46</v>
          </cell>
          <cell r="F13">
            <v>2206.92</v>
          </cell>
          <cell r="G13">
            <v>2471.75</v>
          </cell>
        </row>
        <row r="14">
          <cell r="D14" t="str">
            <v>RecepcionistaARCOS / MG</v>
          </cell>
          <cell r="E14">
            <v>1970.46</v>
          </cell>
          <cell r="F14">
            <v>2206.92</v>
          </cell>
          <cell r="G14">
            <v>2471.75</v>
          </cell>
        </row>
        <row r="15">
          <cell r="D15" t="str">
            <v>Porteiro 12x36 DiurnoBarbacena</v>
          </cell>
          <cell r="E15">
            <v>0</v>
          </cell>
          <cell r="F15">
            <v>0</v>
          </cell>
          <cell r="G15">
            <v>1552.17</v>
          </cell>
        </row>
        <row r="16">
          <cell r="D16" t="str">
            <v>Porteiro 12x36 NoturnoBarbacena</v>
          </cell>
          <cell r="E16">
            <v>0</v>
          </cell>
          <cell r="F16">
            <v>0</v>
          </cell>
          <cell r="G16">
            <v>1783.29</v>
          </cell>
        </row>
        <row r="17">
          <cell r="D17" t="str">
            <v>Auxiliar de Serviços GeraisBETIM / MG</v>
          </cell>
          <cell r="E17">
            <v>961.97</v>
          </cell>
          <cell r="F17">
            <v>1077.3800000000001</v>
          </cell>
          <cell r="G17">
            <v>1206.67</v>
          </cell>
        </row>
        <row r="18">
          <cell r="D18" t="str">
            <v>RecepcionistaBETIM / MG</v>
          </cell>
          <cell r="E18">
            <v>1981.63</v>
          </cell>
          <cell r="F18">
            <v>2219.42</v>
          </cell>
          <cell r="G18">
            <v>2485.7600000000002</v>
          </cell>
        </row>
        <row r="19">
          <cell r="D19" t="str">
            <v>Auxiliar de Serviços GeraisCAMPO BELO / MG</v>
          </cell>
          <cell r="E19">
            <v>936.43</v>
          </cell>
          <cell r="F19">
            <v>1048.8</v>
          </cell>
          <cell r="G19">
            <v>1174.67</v>
          </cell>
        </row>
        <row r="20">
          <cell r="D20" t="str">
            <v>Porteiro 12x36 DiurnoCAETE / MG</v>
          </cell>
          <cell r="F20">
            <v>1498.2</v>
          </cell>
          <cell r="G20">
            <v>1677.97</v>
          </cell>
        </row>
        <row r="21">
          <cell r="D21" t="str">
            <v>Porteiro 12x36 NoturnoCAETE / MG</v>
          </cell>
          <cell r="F21">
            <v>1721.28</v>
          </cell>
          <cell r="G21">
            <v>1927.82</v>
          </cell>
        </row>
        <row r="22">
          <cell r="D22" t="str">
            <v>Auxiliar de Serviços GeraisCarangola / MG</v>
          </cell>
          <cell r="E22">
            <v>958.27</v>
          </cell>
          <cell r="F22">
            <v>1073.26</v>
          </cell>
          <cell r="G22">
            <v>1202.06</v>
          </cell>
        </row>
        <row r="23">
          <cell r="D23" t="str">
            <v>Auxiliar de Serviços GeraisCaratinga</v>
          </cell>
          <cell r="E23">
            <v>936.43</v>
          </cell>
          <cell r="F23">
            <v>1048.8</v>
          </cell>
          <cell r="G23">
            <v>1174.67</v>
          </cell>
        </row>
        <row r="24">
          <cell r="D24" t="str">
            <v>Carmo do Paranaíba</v>
          </cell>
          <cell r="E24">
            <v>0</v>
          </cell>
          <cell r="F24">
            <v>0</v>
          </cell>
          <cell r="G24">
            <v>0</v>
          </cell>
        </row>
        <row r="25">
          <cell r="D25" t="str">
            <v>Auxiliar de Serviços GeraisCONGONHAS / MG</v>
          </cell>
          <cell r="E25">
            <v>925.87</v>
          </cell>
          <cell r="F25">
            <v>1036.98</v>
          </cell>
          <cell r="G25">
            <v>1161.43</v>
          </cell>
        </row>
        <row r="26">
          <cell r="D26" t="str">
            <v>Porteiro 12x36 NoturnoCONGONHAS / MG</v>
          </cell>
          <cell r="F26">
            <v>1565.31</v>
          </cell>
          <cell r="G26">
            <v>1753.15</v>
          </cell>
        </row>
        <row r="27">
          <cell r="D27" t="str">
            <v>Auxiliar de Serviços GeraisCONSELHEIRO LAFAIETE / MG</v>
          </cell>
          <cell r="E27">
            <v>947.22</v>
          </cell>
          <cell r="F27">
            <v>1060.8900000000001</v>
          </cell>
          <cell r="G27">
            <v>1188.21</v>
          </cell>
        </row>
        <row r="28">
          <cell r="D28" t="str">
            <v>RecepcionistaCONSELHEIRO LAFAIETE / MG</v>
          </cell>
          <cell r="E28">
            <v>2015.89</v>
          </cell>
          <cell r="F28">
            <v>2257.8000000000002</v>
          </cell>
          <cell r="G28">
            <v>2528.7399999999998</v>
          </cell>
        </row>
        <row r="29">
          <cell r="D29" t="str">
            <v>Porteiro 12x36 DiurnoCONSELHEIRO LAFAIETE / MG</v>
          </cell>
          <cell r="F29">
            <v>1393.85</v>
          </cell>
          <cell r="G29">
            <v>1561.12</v>
          </cell>
        </row>
        <row r="30">
          <cell r="D30" t="str">
            <v>Porteiro 12x36 NoturnoCONSELHEIRO LAFAIETE / MG</v>
          </cell>
          <cell r="F30">
            <v>1601.4</v>
          </cell>
          <cell r="G30">
            <v>1793.57</v>
          </cell>
        </row>
        <row r="31">
          <cell r="D31" t="str">
            <v>Auxiliar de Serviços GeraisCONTAGEM / MG</v>
          </cell>
          <cell r="E31">
            <v>956.55</v>
          </cell>
          <cell r="F31">
            <v>1071.31</v>
          </cell>
          <cell r="G31">
            <v>1199.8699999999999</v>
          </cell>
        </row>
        <row r="32">
          <cell r="D32" t="str">
            <v>CopeiroCONTAGEM / MG</v>
          </cell>
          <cell r="E32">
            <v>956.55</v>
          </cell>
          <cell r="F32">
            <v>1071.31</v>
          </cell>
          <cell r="G32">
            <v>1199.8699999999999</v>
          </cell>
        </row>
        <row r="33">
          <cell r="D33" t="str">
            <v>Digitador 150 horasCONTAGEM / MG</v>
          </cell>
          <cell r="E33">
            <v>1065.26</v>
          </cell>
          <cell r="F33">
            <v>1194.8499999999999</v>
          </cell>
          <cell r="G33">
            <v>1338.23</v>
          </cell>
        </row>
        <row r="34">
          <cell r="D34" t="str">
            <v>RecepcionistaCONTAGEM / MG</v>
          </cell>
          <cell r="E34">
            <v>1970.46</v>
          </cell>
          <cell r="F34">
            <v>2206.92</v>
          </cell>
          <cell r="G34">
            <v>2471.75</v>
          </cell>
        </row>
        <row r="35">
          <cell r="D35" t="str">
            <v>Porteiro 220 horasConquista</v>
          </cell>
          <cell r="E35">
            <v>0</v>
          </cell>
          <cell r="F35">
            <v>0</v>
          </cell>
          <cell r="G35">
            <v>1623.33</v>
          </cell>
        </row>
        <row r="36">
          <cell r="D36" t="str">
            <v>Corinto</v>
          </cell>
          <cell r="E36">
            <v>0</v>
          </cell>
          <cell r="F36">
            <v>0</v>
          </cell>
          <cell r="G36">
            <v>0</v>
          </cell>
        </row>
        <row r="37">
          <cell r="D37" t="str">
            <v>Coromandel</v>
          </cell>
          <cell r="E37">
            <v>0</v>
          </cell>
          <cell r="F37">
            <v>0</v>
          </cell>
          <cell r="G37">
            <v>0</v>
          </cell>
        </row>
        <row r="38">
          <cell r="D38" t="str">
            <v>Auxiliar de Serviços GeraisDiamantina/MG</v>
          </cell>
          <cell r="E38">
            <v>958.27</v>
          </cell>
          <cell r="F38">
            <v>1073.26</v>
          </cell>
          <cell r="G38">
            <v>1202.07</v>
          </cell>
        </row>
        <row r="39">
          <cell r="D39" t="str">
            <v>Porteiro 12x36 DiurnoDiamantina/MG</v>
          </cell>
          <cell r="E39">
            <v>0</v>
          </cell>
          <cell r="F39">
            <v>0</v>
          </cell>
          <cell r="G39">
            <v>1579.32</v>
          </cell>
        </row>
        <row r="40">
          <cell r="D40" t="str">
            <v>Porteiro 12x36 NoturnoDiamantina/MG</v>
          </cell>
          <cell r="E40">
            <v>0</v>
          </cell>
          <cell r="F40">
            <v>0</v>
          </cell>
          <cell r="G40">
            <v>1814.48</v>
          </cell>
        </row>
        <row r="41">
          <cell r="D41" t="str">
            <v>Auxiliar de Serviços GeraisDIVINÓPOLIS / MG</v>
          </cell>
          <cell r="E41">
            <v>990.02</v>
          </cell>
          <cell r="F41">
            <v>1108.8</v>
          </cell>
          <cell r="G41">
            <v>1241.8399999999999</v>
          </cell>
        </row>
        <row r="42">
          <cell r="D42" t="str">
            <v>RecepcionistaDIVINÓPOLIS / MG</v>
          </cell>
          <cell r="E42">
            <v>2039.4</v>
          </cell>
          <cell r="F42">
            <v>2284.13</v>
          </cell>
          <cell r="G42">
            <v>2558.2199999999998</v>
          </cell>
        </row>
        <row r="43">
          <cell r="D43" t="str">
            <v>Auxiliar de Serviços GeraisFormiga</v>
          </cell>
          <cell r="E43">
            <v>925.87</v>
          </cell>
          <cell r="F43">
            <v>1036.98</v>
          </cell>
          <cell r="G43">
            <v>1161.43</v>
          </cell>
        </row>
        <row r="44">
          <cell r="D44" t="str">
            <v>Frutal</v>
          </cell>
          <cell r="E44">
            <v>0</v>
          </cell>
          <cell r="G44">
            <v>0</v>
          </cell>
        </row>
        <row r="45">
          <cell r="D45" t="str">
            <v>Auxiliar de Serviços GeraisGOVERNADOR VALADARES / MG</v>
          </cell>
          <cell r="E45">
            <v>990.02</v>
          </cell>
          <cell r="F45">
            <v>1108.79</v>
          </cell>
          <cell r="G45">
            <v>1241.8399999999999</v>
          </cell>
        </row>
        <row r="46">
          <cell r="D46" t="str">
            <v>Porteiro 12x36 DiurnoGOVERNADOR VALADARES / MG</v>
          </cell>
          <cell r="E46">
            <v>1368.87</v>
          </cell>
          <cell r="F46">
            <v>1533.13</v>
          </cell>
          <cell r="G46">
            <v>1717.11</v>
          </cell>
        </row>
        <row r="47">
          <cell r="D47" t="str">
            <v>Porteiro 12x36 NoturnoGOVERNADOR VALADARES / MG</v>
          </cell>
          <cell r="E47">
            <v>1572.69</v>
          </cell>
          <cell r="F47">
            <v>1761.42</v>
          </cell>
          <cell r="G47">
            <v>1972.79</v>
          </cell>
        </row>
        <row r="48">
          <cell r="D48" t="str">
            <v>Guanhães</v>
          </cell>
          <cell r="E48">
            <v>0</v>
          </cell>
          <cell r="G48">
            <v>0</v>
          </cell>
        </row>
        <row r="49">
          <cell r="D49" t="str">
            <v>Porteiro 220 horasIBIÁ / MG</v>
          </cell>
          <cell r="E49">
            <v>1294.1099999999999</v>
          </cell>
          <cell r="F49">
            <v>1449.4</v>
          </cell>
          <cell r="G49">
            <v>1623.33</v>
          </cell>
        </row>
        <row r="50">
          <cell r="D50" t="str">
            <v>Porteiro 220 horasIBIRITÉ/MG</v>
          </cell>
          <cell r="E50">
            <v>1407.02</v>
          </cell>
          <cell r="F50">
            <v>1575.86</v>
          </cell>
          <cell r="G50">
            <v>1764.96</v>
          </cell>
        </row>
        <row r="51">
          <cell r="D51" t="str">
            <v>Porteiro 12x36 DiurnoIBIRITÉ/MG</v>
          </cell>
          <cell r="F51">
            <v>1481.3</v>
          </cell>
          <cell r="G51">
            <v>1659.06</v>
          </cell>
        </row>
        <row r="52">
          <cell r="D52" t="str">
            <v>Porteiro 12x36 NoturnoIBIRITÉ/MG</v>
          </cell>
          <cell r="F52">
            <v>1701.87</v>
          </cell>
          <cell r="G52">
            <v>1906.1</v>
          </cell>
        </row>
        <row r="53">
          <cell r="D53" t="str">
            <v>Auxiliar de Serviços GeraisIPATINGA / MG</v>
          </cell>
          <cell r="E53">
            <v>936.43</v>
          </cell>
          <cell r="F53">
            <v>1083.52</v>
          </cell>
        </row>
        <row r="54">
          <cell r="D54" t="str">
            <v>RecepcionistaIPATINGA / MG</v>
          </cell>
          <cell r="E54">
            <v>1992.92</v>
          </cell>
          <cell r="F54">
            <v>2232.0700000000002</v>
          </cell>
          <cell r="G54">
            <v>2499.92</v>
          </cell>
        </row>
        <row r="55">
          <cell r="D55" t="str">
            <v>Porteiro 12x36 DiurnoITABIRA/MG</v>
          </cell>
          <cell r="E55">
            <v>0</v>
          </cell>
          <cell r="F55">
            <v>0</v>
          </cell>
          <cell r="G55">
            <v>1543.33</v>
          </cell>
        </row>
        <row r="56">
          <cell r="D56" t="str">
            <v>Porteiro 12x36 NoturnoITABIRA/MG</v>
          </cell>
          <cell r="E56">
            <v>0</v>
          </cell>
          <cell r="F56">
            <v>0</v>
          </cell>
          <cell r="G56">
            <v>1773.13</v>
          </cell>
        </row>
        <row r="57">
          <cell r="D57" t="str">
            <v>Itabirito</v>
          </cell>
          <cell r="E57">
            <v>0</v>
          </cell>
          <cell r="F57">
            <v>0</v>
          </cell>
          <cell r="G57">
            <v>0</v>
          </cell>
        </row>
        <row r="58">
          <cell r="D58" t="str">
            <v>Auxiliar de Serviços GeraisITAJUBÁ / MG</v>
          </cell>
          <cell r="E58">
            <v>925.87</v>
          </cell>
          <cell r="F58">
            <v>1036.98</v>
          </cell>
          <cell r="G58">
            <v>1161.44</v>
          </cell>
        </row>
        <row r="59">
          <cell r="D59" t="str">
            <v>Porteiro 220 horasITAJUBÁ / MG</v>
          </cell>
          <cell r="E59">
            <v>1294.1099999999999</v>
          </cell>
          <cell r="F59">
            <v>1449.4</v>
          </cell>
          <cell r="G59">
            <v>1623.33</v>
          </cell>
        </row>
        <row r="60">
          <cell r="D60" t="str">
            <v>Digitador 150 horasITAMBACURI/MG</v>
          </cell>
          <cell r="E60">
            <v>0</v>
          </cell>
          <cell r="F60">
            <v>0</v>
          </cell>
          <cell r="G60">
            <v>1353.48</v>
          </cell>
        </row>
        <row r="61">
          <cell r="D61" t="str">
            <v>Auxiliar de Serviços GeraisITAMONTE / MG</v>
          </cell>
          <cell r="E61">
            <v>936.43</v>
          </cell>
          <cell r="F61">
            <v>1048.8</v>
          </cell>
          <cell r="G61">
            <v>1174.67</v>
          </cell>
        </row>
        <row r="62">
          <cell r="D62" t="str">
            <v>Porteiro 220 horasITAÚNA / MG</v>
          </cell>
          <cell r="E62">
            <v>1294.1099999999999</v>
          </cell>
          <cell r="F62">
            <v>1449.4</v>
          </cell>
          <cell r="G62">
            <v>1623.34</v>
          </cell>
        </row>
        <row r="63">
          <cell r="D63" t="str">
            <v>Auxiliar de Serviços GeraisITUIUTABA / MG</v>
          </cell>
          <cell r="E63">
            <v>947.22</v>
          </cell>
          <cell r="F63">
            <v>1060.8900000000001</v>
          </cell>
          <cell r="G63">
            <v>1188.21</v>
          </cell>
        </row>
        <row r="64">
          <cell r="D64" t="str">
            <v>Porteiro 220 horasITUIUTABA / MG</v>
          </cell>
          <cell r="F64">
            <v>1482.82</v>
          </cell>
          <cell r="G64">
            <v>1660.76</v>
          </cell>
        </row>
        <row r="65">
          <cell r="D65" t="str">
            <v>Janaúba</v>
          </cell>
          <cell r="E65">
            <v>0</v>
          </cell>
          <cell r="G65">
            <v>0</v>
          </cell>
        </row>
        <row r="66">
          <cell r="D66" t="str">
            <v>Porteiro 220 horasJANUÁRIA / MG</v>
          </cell>
          <cell r="E66">
            <v>1308.8599999999999</v>
          </cell>
          <cell r="F66">
            <v>1465.92</v>
          </cell>
          <cell r="G66">
            <v>1641.83</v>
          </cell>
        </row>
        <row r="67">
          <cell r="D67" t="str">
            <v>João Pinheiro</v>
          </cell>
          <cell r="E67">
            <v>0</v>
          </cell>
          <cell r="G67">
            <v>0</v>
          </cell>
        </row>
        <row r="68">
          <cell r="D68" t="str">
            <v>Auxiliar de Serviços GeraisJUIZ DE FORA / MG</v>
          </cell>
          <cell r="E68">
            <v>999.9</v>
          </cell>
          <cell r="F68">
            <v>1058.3900000000001</v>
          </cell>
          <cell r="G68">
            <v>1217.1600000000001</v>
          </cell>
        </row>
        <row r="69">
          <cell r="D69" t="str">
            <v>Auxiliar de Serviços GeraisLAVRAS / MG</v>
          </cell>
          <cell r="E69">
            <v>958.27</v>
          </cell>
          <cell r="F69">
            <v>1073.26</v>
          </cell>
          <cell r="G69">
            <v>1202.07</v>
          </cell>
        </row>
        <row r="70">
          <cell r="D70" t="str">
            <v>Porteiro 220 horasLAVRAS / MG</v>
          </cell>
          <cell r="E70">
            <v>1339.38</v>
          </cell>
          <cell r="F70">
            <v>1500.11</v>
          </cell>
          <cell r="G70">
            <v>1680.12</v>
          </cell>
        </row>
        <row r="71">
          <cell r="D71" t="str">
            <v>RecepcionistaLAVRAS / MG</v>
          </cell>
          <cell r="E71">
            <v>2039.4</v>
          </cell>
          <cell r="F71">
            <v>2284.13</v>
          </cell>
          <cell r="G71">
            <v>2558.2199999999998</v>
          </cell>
        </row>
        <row r="72">
          <cell r="D72" t="str">
            <v>Leopoldina</v>
          </cell>
          <cell r="E72">
            <v>0</v>
          </cell>
          <cell r="G72">
            <v>0</v>
          </cell>
        </row>
        <row r="73">
          <cell r="D73" t="str">
            <v>Digitador 150 horasMACHADO / MG</v>
          </cell>
          <cell r="E73">
            <v>1065.26</v>
          </cell>
          <cell r="F73">
            <v>1194.8499999999999</v>
          </cell>
          <cell r="G73">
            <v>1338.23</v>
          </cell>
        </row>
        <row r="74">
          <cell r="D74" t="str">
            <v>Porteiro 12x36 DiurnoManga</v>
          </cell>
          <cell r="E74">
            <v>0</v>
          </cell>
          <cell r="F74">
            <v>0</v>
          </cell>
          <cell r="G74">
            <v>1525.93</v>
          </cell>
        </row>
        <row r="75">
          <cell r="D75" t="str">
            <v>Porteiro 12x36 NoturnoManga</v>
          </cell>
          <cell r="E75">
            <v>0</v>
          </cell>
          <cell r="F75">
            <v>0</v>
          </cell>
          <cell r="G75">
            <v>1753.15</v>
          </cell>
        </row>
        <row r="76">
          <cell r="D76" t="str">
            <v>Mateus Leme</v>
          </cell>
          <cell r="E76">
            <v>0</v>
          </cell>
          <cell r="G76">
            <v>0</v>
          </cell>
        </row>
        <row r="77">
          <cell r="D77" t="str">
            <v>Porteiro 12x36 DiurnoMONTES CLAROS/MG</v>
          </cell>
          <cell r="E77">
            <v>0</v>
          </cell>
          <cell r="F77">
            <v>1498.2</v>
          </cell>
          <cell r="G77">
            <v>1677.96</v>
          </cell>
        </row>
        <row r="78">
          <cell r="D78" t="str">
            <v>Porteiro 12x36 NoturnoMONTES CLAROS/MG</v>
          </cell>
          <cell r="E78">
            <v>0</v>
          </cell>
          <cell r="F78">
            <v>1721.28</v>
          </cell>
          <cell r="G78">
            <v>1927.81</v>
          </cell>
        </row>
        <row r="79">
          <cell r="D79" t="str">
            <v>Auxiliar de Serviços GeraisMORADA NOVA DE MINAS / MG</v>
          </cell>
          <cell r="E79">
            <v>925.87</v>
          </cell>
          <cell r="F79">
            <v>1036.98</v>
          </cell>
          <cell r="G79">
            <v>1161.44</v>
          </cell>
        </row>
        <row r="80">
          <cell r="D80" t="str">
            <v>Auxiliar de Serviços GeraisMURIAÉ/MG</v>
          </cell>
          <cell r="E80">
            <v>936.43</v>
          </cell>
          <cell r="F80">
            <v>1048.8</v>
          </cell>
          <cell r="G80">
            <v>1174.67</v>
          </cell>
        </row>
        <row r="81">
          <cell r="D81" t="str">
            <v>Auxiliar de Serviços GeraisNOVA LIMA / MG</v>
          </cell>
          <cell r="E81">
            <v>967.46</v>
          </cell>
          <cell r="F81">
            <v>1083.51</v>
          </cell>
          <cell r="G81">
            <v>1213.55</v>
          </cell>
        </row>
        <row r="82">
          <cell r="D82" t="str">
            <v>Porteiro 12x36 DiurnoNOVA LIMA / MG</v>
          </cell>
          <cell r="E82">
            <v>1337.67</v>
          </cell>
          <cell r="F82">
            <v>1498.18</v>
          </cell>
          <cell r="G82">
            <v>1677.97</v>
          </cell>
        </row>
        <row r="83">
          <cell r="D83" t="str">
            <v>Porteiro 12x36 NoturnoNOVA LIMA / MG</v>
          </cell>
          <cell r="E83">
            <v>1536.85</v>
          </cell>
          <cell r="F83">
            <v>1721.26</v>
          </cell>
          <cell r="G83">
            <v>1927.82</v>
          </cell>
        </row>
        <row r="84">
          <cell r="D84" t="str">
            <v>RecepcionistaNOVA LIMA / MG</v>
          </cell>
          <cell r="F84">
            <v>2232.08</v>
          </cell>
          <cell r="G84">
            <v>2499.92</v>
          </cell>
        </row>
        <row r="85">
          <cell r="D85" t="str">
            <v>Porteiro 220 horasNOVA PONTE / MG</v>
          </cell>
          <cell r="E85">
            <v>1294.1099999999999</v>
          </cell>
          <cell r="F85">
            <v>1449.4</v>
          </cell>
          <cell r="G85">
            <v>1623.33</v>
          </cell>
        </row>
        <row r="86">
          <cell r="D86" t="str">
            <v>Auxiliar de Serviços GeraisNOVA SERRANA / MG</v>
          </cell>
          <cell r="E86">
            <v>925.87</v>
          </cell>
          <cell r="F86">
            <v>1036.98</v>
          </cell>
          <cell r="G86">
            <v>1161.43</v>
          </cell>
        </row>
        <row r="87">
          <cell r="D87" t="str">
            <v>Oliveira</v>
          </cell>
          <cell r="E87">
            <v>0</v>
          </cell>
          <cell r="G87">
            <v>0</v>
          </cell>
        </row>
        <row r="88">
          <cell r="D88" t="str">
            <v>Porteiro 220 horasOURO PRETO / MG</v>
          </cell>
          <cell r="E88">
            <v>1308.8599999999999</v>
          </cell>
          <cell r="F88">
            <v>1465.92</v>
          </cell>
          <cell r="G88">
            <v>1641.84</v>
          </cell>
        </row>
        <row r="89">
          <cell r="D89" t="str">
            <v>Pará de Minas</v>
          </cell>
          <cell r="E89">
            <v>0</v>
          </cell>
          <cell r="G89">
            <v>0</v>
          </cell>
        </row>
        <row r="90">
          <cell r="D90" t="str">
            <v>Paracatu</v>
          </cell>
          <cell r="E90">
            <v>0</v>
          </cell>
          <cell r="G90">
            <v>0</v>
          </cell>
        </row>
        <row r="91">
          <cell r="D91" t="str">
            <v>Auxiliar de Serviços GeraisPASSOS/MG</v>
          </cell>
          <cell r="E91">
            <v>936.43</v>
          </cell>
          <cell r="F91">
            <v>1048.8</v>
          </cell>
          <cell r="G91">
            <v>1174.67</v>
          </cell>
        </row>
        <row r="92">
          <cell r="D92" t="str">
            <v>RecepcionistaPASSOS/MG</v>
          </cell>
          <cell r="E92">
            <v>1992.92</v>
          </cell>
          <cell r="F92">
            <v>2232.0700000000002</v>
          </cell>
          <cell r="G92">
            <v>2499.92</v>
          </cell>
        </row>
        <row r="93">
          <cell r="D93" t="str">
            <v>Porteiro 220 horasPASSOS/MG</v>
          </cell>
          <cell r="E93">
            <v>0</v>
          </cell>
          <cell r="F93">
            <v>0</v>
          </cell>
          <cell r="G93">
            <v>1641.84</v>
          </cell>
        </row>
        <row r="94">
          <cell r="D94" t="str">
            <v>Auxiliar de Serviços GeraisPatos de Minas</v>
          </cell>
          <cell r="E94">
            <v>925.87</v>
          </cell>
          <cell r="F94">
            <v>1036.98</v>
          </cell>
          <cell r="G94">
            <v>1161.43</v>
          </cell>
        </row>
        <row r="95">
          <cell r="D95" t="str">
            <v>Auxiliar de Serviços GeraisPEDRO LEOPOLDO / MG</v>
          </cell>
          <cell r="E95">
            <v>956.55</v>
          </cell>
          <cell r="F95">
            <v>1071.32</v>
          </cell>
          <cell r="G95">
            <v>1199.8699999999999</v>
          </cell>
        </row>
        <row r="96">
          <cell r="D96" t="str">
            <v>RecepcionistaPEDRO LEOPOLDO / MG</v>
          </cell>
          <cell r="E96">
            <v>1970.46</v>
          </cell>
          <cell r="F96">
            <v>2206.92</v>
          </cell>
          <cell r="G96">
            <v>2471.75</v>
          </cell>
        </row>
        <row r="97">
          <cell r="D97" t="str">
            <v>Auxiliar de Serviços GeraisPirapetinga</v>
          </cell>
          <cell r="E97">
            <v>925.87</v>
          </cell>
          <cell r="F97">
            <v>1036.98</v>
          </cell>
          <cell r="G97">
            <v>1161.43</v>
          </cell>
        </row>
        <row r="98">
          <cell r="D98" t="str">
            <v>Digitador 150 horasPITANGUI / MG</v>
          </cell>
          <cell r="E98">
            <v>1065.26</v>
          </cell>
          <cell r="F98">
            <v>1194.8499999999999</v>
          </cell>
          <cell r="G98">
            <v>1338.23</v>
          </cell>
        </row>
        <row r="99">
          <cell r="D99" t="str">
            <v>Piunhi</v>
          </cell>
          <cell r="E99">
            <v>0</v>
          </cell>
          <cell r="G99">
            <v>0</v>
          </cell>
        </row>
        <row r="100">
          <cell r="D100" t="str">
            <v>Poço Fundo</v>
          </cell>
          <cell r="E100">
            <v>0</v>
          </cell>
          <cell r="G100">
            <v>0</v>
          </cell>
        </row>
        <row r="101">
          <cell r="D101" t="str">
            <v>Auxiliar de Serviços GeraisPoços de Caldas</v>
          </cell>
          <cell r="E101">
            <v>958.27</v>
          </cell>
          <cell r="F101">
            <v>1073.26</v>
          </cell>
          <cell r="G101">
            <v>1202.06</v>
          </cell>
        </row>
        <row r="102">
          <cell r="D102" t="str">
            <v>Porteiro 220 horasPONTE NOVA / MG</v>
          </cell>
          <cell r="E102">
            <v>1308.8599999999999</v>
          </cell>
          <cell r="F102">
            <v>1465.92</v>
          </cell>
          <cell r="G102">
            <v>1641.84</v>
          </cell>
        </row>
        <row r="103">
          <cell r="D103" t="str">
            <v>Porteiro 12x36 NoturnoPONTE NOVA / MG</v>
          </cell>
          <cell r="E103">
            <v>1413.52</v>
          </cell>
          <cell r="F103">
            <v>1583.15</v>
          </cell>
          <cell r="G103">
            <v>1773.13</v>
          </cell>
        </row>
        <row r="104">
          <cell r="D104" t="str">
            <v>Porteirinha</v>
          </cell>
          <cell r="E104">
            <v>0</v>
          </cell>
          <cell r="G104">
            <v>0</v>
          </cell>
        </row>
        <row r="105">
          <cell r="D105" t="str">
            <v>Auxiliar de Serviços GeraisPouso Alegre/MG</v>
          </cell>
          <cell r="E105">
            <v>925.87</v>
          </cell>
          <cell r="F105">
            <v>1036.98</v>
          </cell>
          <cell r="G105">
            <v>1161.44</v>
          </cell>
        </row>
        <row r="106">
          <cell r="D106" t="str">
            <v>Porteiro 220 horasPouso Alegre/MG</v>
          </cell>
          <cell r="E106">
            <v>0</v>
          </cell>
          <cell r="F106">
            <v>0</v>
          </cell>
          <cell r="G106">
            <v>1623.33</v>
          </cell>
        </row>
        <row r="107">
          <cell r="D107" t="str">
            <v>Auxiliar de Serviços GeraisRIBEIRÃO DAS NEVES / MG</v>
          </cell>
          <cell r="E107">
            <v>978.61</v>
          </cell>
          <cell r="F107">
            <v>1096</v>
          </cell>
          <cell r="G107">
            <v>1227.54</v>
          </cell>
        </row>
        <row r="108">
          <cell r="D108" t="str">
            <v>Porteiro 220 horasRIBEIRÃO DAS NEVES / MG</v>
          </cell>
          <cell r="E108">
            <v>0</v>
          </cell>
          <cell r="F108">
            <v>0</v>
          </cell>
          <cell r="G108">
            <v>1805.65</v>
          </cell>
        </row>
        <row r="109">
          <cell r="D109" t="str">
            <v>Porteiro 12x36 DiurnoRIBEIRÃO DAS NEVES / MG</v>
          </cell>
          <cell r="E109">
            <v>0</v>
          </cell>
          <cell r="F109">
            <v>1515.45</v>
          </cell>
          <cell r="G109">
            <v>1697.31</v>
          </cell>
        </row>
        <row r="110">
          <cell r="D110" t="str">
            <v>Porteiro 12x36 NoturnoRIBEIRÃO DAS NEVES / MG</v>
          </cell>
          <cell r="E110">
            <v>0</v>
          </cell>
          <cell r="F110">
            <v>0</v>
          </cell>
          <cell r="G110">
            <v>1950.04</v>
          </cell>
        </row>
        <row r="111">
          <cell r="D111" t="str">
            <v>RecepcionistaRIBEIRÃO DAS NEVES / MG</v>
          </cell>
          <cell r="E111">
            <v>2015.89</v>
          </cell>
          <cell r="F111">
            <v>2257.8000000000002</v>
          </cell>
          <cell r="G111">
            <v>2528.7399999999998</v>
          </cell>
        </row>
        <row r="112">
          <cell r="D112" t="str">
            <v>Sacramento</v>
          </cell>
          <cell r="E112">
            <v>0</v>
          </cell>
          <cell r="F112">
            <v>0</v>
          </cell>
          <cell r="G112">
            <v>0</v>
          </cell>
        </row>
        <row r="113">
          <cell r="D113" t="str">
            <v>Santa Luzia</v>
          </cell>
          <cell r="E113">
            <v>0</v>
          </cell>
          <cell r="F113">
            <v>0</v>
          </cell>
          <cell r="G113">
            <v>0</v>
          </cell>
        </row>
        <row r="114">
          <cell r="D114" t="str">
            <v>Auxiliar de Serviços GeraisSanta Rita do Sapucaí</v>
          </cell>
          <cell r="E114">
            <v>936.43</v>
          </cell>
          <cell r="F114">
            <v>1048.8</v>
          </cell>
          <cell r="G114">
            <v>1174.67</v>
          </cell>
        </row>
        <row r="115">
          <cell r="D115" t="str">
            <v>Santa Vitória</v>
          </cell>
          <cell r="E115">
            <v>0</v>
          </cell>
          <cell r="F115">
            <v>0</v>
          </cell>
          <cell r="G115">
            <v>0</v>
          </cell>
        </row>
        <row r="116">
          <cell r="D116" t="str">
            <v>Porteiro 220 horasSanto Antonio do Monte/MG</v>
          </cell>
          <cell r="E116">
            <v>0</v>
          </cell>
          <cell r="F116">
            <v>0</v>
          </cell>
          <cell r="G116">
            <v>1641.84</v>
          </cell>
        </row>
        <row r="117">
          <cell r="D117" t="str">
            <v>Auxiliar de Serviços GeraisSANTOS DUMONT - MG</v>
          </cell>
          <cell r="E117">
            <v>936.43</v>
          </cell>
          <cell r="F117">
            <v>1048.8</v>
          </cell>
          <cell r="G117">
            <v>1174.67</v>
          </cell>
        </row>
        <row r="118">
          <cell r="D118" t="str">
            <v>São Francisco</v>
          </cell>
          <cell r="E118">
            <v>0</v>
          </cell>
          <cell r="F118">
            <v>0</v>
          </cell>
          <cell r="G118">
            <v>0</v>
          </cell>
        </row>
        <row r="119">
          <cell r="D119" t="str">
            <v>Auxiliar de Serviços GeraisSão Gonçalo do Sapucaí</v>
          </cell>
          <cell r="E119">
            <v>925.87</v>
          </cell>
          <cell r="F119">
            <v>1036.98</v>
          </cell>
          <cell r="G119">
            <v>1161.43</v>
          </cell>
        </row>
        <row r="120">
          <cell r="D120" t="str">
            <v>Auxiliar de Serviços GeraisSÃO JOÃO DEL REI / MG</v>
          </cell>
          <cell r="E120">
            <v>925.87</v>
          </cell>
          <cell r="F120">
            <v>1036.98</v>
          </cell>
          <cell r="G120">
            <v>1161.43</v>
          </cell>
        </row>
        <row r="121">
          <cell r="D121" t="str">
            <v>Porteiro 12x36 DiurnoSÃO JOÃO DEL REI / MG</v>
          </cell>
          <cell r="E121">
            <v>1216.46</v>
          </cell>
          <cell r="F121">
            <v>1362.44</v>
          </cell>
          <cell r="G121">
            <v>1525.94</v>
          </cell>
        </row>
        <row r="122">
          <cell r="D122" t="str">
            <v>Porteiro 12x36 NoturnoSÃO JOÃO DEL REI / MG</v>
          </cell>
          <cell r="E122">
            <v>1397.6</v>
          </cell>
          <cell r="F122">
            <v>1565.31</v>
          </cell>
          <cell r="G122">
            <v>1753.15</v>
          </cell>
        </row>
        <row r="123">
          <cell r="D123" t="str">
            <v>São Lourenço</v>
          </cell>
          <cell r="E123">
            <v>0</v>
          </cell>
          <cell r="G123">
            <v>0</v>
          </cell>
        </row>
        <row r="124">
          <cell r="D124" t="str">
            <v>São Sebastião do Paraíso</v>
          </cell>
          <cell r="E124">
            <v>0</v>
          </cell>
          <cell r="G124">
            <v>0</v>
          </cell>
        </row>
        <row r="125">
          <cell r="D125" t="str">
            <v>Porteiro 12x36 DiurnoSETE LAGOAS / MG</v>
          </cell>
          <cell r="E125">
            <v>0</v>
          </cell>
          <cell r="F125">
            <v>1498.2</v>
          </cell>
          <cell r="G125">
            <v>1677.96</v>
          </cell>
        </row>
        <row r="126">
          <cell r="D126" t="str">
            <v>Porteiro 12x36 NoturnoSETE LAGOAS / MG</v>
          </cell>
          <cell r="E126">
            <v>0</v>
          </cell>
          <cell r="F126">
            <v>1721.28</v>
          </cell>
          <cell r="G126">
            <v>1927.81</v>
          </cell>
        </row>
        <row r="127">
          <cell r="D127" t="str">
            <v>Porteiro 12x36 DiurnoTEÓFILO OTONI / MG</v>
          </cell>
          <cell r="E127">
            <v>1216.46</v>
          </cell>
          <cell r="F127">
            <v>1362.44</v>
          </cell>
          <cell r="G127">
            <v>1525.94</v>
          </cell>
        </row>
        <row r="128">
          <cell r="D128" t="str">
            <v>Porteiro 12x36 NoturnoTEÓFILO OTONI / MG</v>
          </cell>
          <cell r="E128">
            <v>1397.6</v>
          </cell>
          <cell r="F128">
            <v>1565.31</v>
          </cell>
          <cell r="G128">
            <v>1753.15</v>
          </cell>
        </row>
        <row r="129">
          <cell r="D129" t="str">
            <v>Porteiro 12x36 DiurnoTRÊS PONTAS / MG</v>
          </cell>
          <cell r="E129">
            <v>1223.3599999999999</v>
          </cell>
          <cell r="F129">
            <v>1370.16</v>
          </cell>
          <cell r="G129">
            <v>1534.58</v>
          </cell>
        </row>
        <row r="130">
          <cell r="D130" t="str">
            <v>Porteiro 12x36 NoturnoTRÊS PONTAS / MG</v>
          </cell>
          <cell r="E130">
            <v>1405.52</v>
          </cell>
          <cell r="F130">
            <v>1574.18</v>
          </cell>
          <cell r="G130">
            <v>1763.08</v>
          </cell>
        </row>
        <row r="131">
          <cell r="D131" t="str">
            <v>Auxiliar de Serviços GeraisTUPACIGUARA / MG</v>
          </cell>
          <cell r="E131">
            <v>925.87</v>
          </cell>
          <cell r="F131">
            <v>1036.98</v>
          </cell>
          <cell r="G131">
            <v>1161.42</v>
          </cell>
        </row>
        <row r="132">
          <cell r="D132" t="str">
            <v>Porteiro 12x36 DiurnoTUPACIGUARA / MG</v>
          </cell>
          <cell r="E132">
            <v>0</v>
          </cell>
          <cell r="F132">
            <v>0</v>
          </cell>
          <cell r="G132">
            <v>1525.93</v>
          </cell>
        </row>
        <row r="133">
          <cell r="D133" t="str">
            <v>Porteiro 12x36 NoturnoTUPACIGUARA / MG</v>
          </cell>
          <cell r="E133">
            <v>0</v>
          </cell>
          <cell r="F133">
            <v>0</v>
          </cell>
          <cell r="G133">
            <v>1753.15</v>
          </cell>
        </row>
        <row r="134">
          <cell r="D134" t="str">
            <v>Auxiliar de Serviços GeraisUBÁ / MG</v>
          </cell>
          <cell r="E134">
            <v>936.43</v>
          </cell>
          <cell r="F134">
            <v>1048.8</v>
          </cell>
          <cell r="G134">
            <v>1174.67</v>
          </cell>
        </row>
        <row r="135">
          <cell r="D135" t="str">
            <v>Porteiro 220 horasUBÁ / MG</v>
          </cell>
          <cell r="E135">
            <v>1308.8599999999999</v>
          </cell>
          <cell r="F135">
            <v>1465.92</v>
          </cell>
          <cell r="G135">
            <v>1641.84</v>
          </cell>
        </row>
        <row r="136">
          <cell r="D136" t="str">
            <v>Auxiliar de Serviços GeraisUBERABA / MG</v>
          </cell>
          <cell r="E136">
            <v>967.46</v>
          </cell>
          <cell r="F136">
            <v>1083.53</v>
          </cell>
          <cell r="G136">
            <v>1213.55</v>
          </cell>
        </row>
        <row r="137">
          <cell r="D137" t="str">
            <v>Digitador 150 horasUBERABA / MG</v>
          </cell>
          <cell r="E137">
            <v>1077.4000000000001</v>
          </cell>
          <cell r="F137">
            <v>1208.47</v>
          </cell>
          <cell r="G137">
            <v>1353.48</v>
          </cell>
        </row>
        <row r="138">
          <cell r="D138" t="str">
            <v>Porteiro 220 horasUBERABA / MG</v>
          </cell>
          <cell r="E138">
            <v>1423.05</v>
          </cell>
          <cell r="F138">
            <v>1593.82</v>
          </cell>
          <cell r="G138">
            <v>1785.07</v>
          </cell>
        </row>
        <row r="139">
          <cell r="D139" t="str">
            <v>RecepcionistaUBERABA / MG</v>
          </cell>
          <cell r="E139">
            <v>1992.92</v>
          </cell>
          <cell r="F139">
            <v>2232.0700000000002</v>
          </cell>
          <cell r="G139">
            <v>2499.92</v>
          </cell>
        </row>
        <row r="140">
          <cell r="D140" t="str">
            <v>Auxiliar de Serviços GeraisUBERLÂNDIA / MG</v>
          </cell>
          <cell r="E140">
            <v>956.55</v>
          </cell>
          <cell r="F140">
            <v>1071.32</v>
          </cell>
          <cell r="G140">
            <v>1199.8800000000001</v>
          </cell>
        </row>
        <row r="141">
          <cell r="D141" t="str">
            <v>Digitador 150 horasUBERLÂNDIA / MG</v>
          </cell>
          <cell r="E141">
            <v>1065.26</v>
          </cell>
          <cell r="F141">
            <v>1194.8499999999999</v>
          </cell>
          <cell r="G141">
            <v>1338.23</v>
          </cell>
        </row>
        <row r="142">
          <cell r="D142" t="str">
            <v>Porteiro 220 horasUBERLÂNDIA / MG</v>
          </cell>
          <cell r="E142">
            <v>1407.02</v>
          </cell>
          <cell r="F142">
            <v>1575.88</v>
          </cell>
          <cell r="G142">
            <v>1764.98</v>
          </cell>
        </row>
        <row r="143">
          <cell r="D143" t="str">
            <v>RecepcionistaUBERLÂNDIA / MG</v>
          </cell>
          <cell r="E143">
            <v>1970.46</v>
          </cell>
          <cell r="F143">
            <v>2206.92</v>
          </cell>
          <cell r="G143">
            <v>2383.4699999999998</v>
          </cell>
        </row>
        <row r="144">
          <cell r="D144" t="str">
            <v>Telefonista 150 horasUBERLÂNDIA / MG</v>
          </cell>
          <cell r="E144">
            <v>1544.65</v>
          </cell>
          <cell r="F144">
            <v>1656.17</v>
          </cell>
          <cell r="G144">
            <v>1854.9</v>
          </cell>
        </row>
        <row r="145">
          <cell r="D145" t="str">
            <v>Porteiro 220 horasVARGINHA / MG</v>
          </cell>
          <cell r="E145">
            <v>1308.8599999999999</v>
          </cell>
          <cell r="F145">
            <v>1465.92</v>
          </cell>
          <cell r="G145">
            <v>1641.83</v>
          </cell>
        </row>
        <row r="146">
          <cell r="D146" t="str">
            <v>Porteiro 12x36 DiurnoVESPASIANO / MG</v>
          </cell>
          <cell r="E146">
            <v>1322.59</v>
          </cell>
          <cell r="F146">
            <v>1481.33</v>
          </cell>
          <cell r="G146">
            <v>1659.06</v>
          </cell>
        </row>
        <row r="147">
          <cell r="D147" t="str">
            <v>Porteiro 12x36 NoturnoVESPASIANO / MG</v>
          </cell>
          <cell r="E147">
            <v>1519.53</v>
          </cell>
          <cell r="F147">
            <v>1701.9</v>
          </cell>
          <cell r="G147">
            <v>1906.1</v>
          </cell>
        </row>
        <row r="148">
          <cell r="D148" t="str">
            <v>RecepcionistaVESPASIANO / MG</v>
          </cell>
          <cell r="E148">
            <v>1970.46</v>
          </cell>
          <cell r="F148">
            <v>2206.92</v>
          </cell>
          <cell r="G148">
            <v>2471.75</v>
          </cell>
        </row>
        <row r="149">
          <cell r="D149" t="str">
            <v>Auxiliar de Serviços GeraisViçosa</v>
          </cell>
          <cell r="E149">
            <v>936.43</v>
          </cell>
          <cell r="F149">
            <v>1048.8</v>
          </cell>
          <cell r="G149">
            <v>1174.67</v>
          </cell>
        </row>
        <row r="150">
          <cell r="D150" t="str">
            <v>AlmoxarifeBELO HORIZONTE / MG</v>
          </cell>
          <cell r="E150">
            <v>1331.82</v>
          </cell>
          <cell r="F150">
            <v>1491.63</v>
          </cell>
          <cell r="G150">
            <v>1670.65</v>
          </cell>
        </row>
        <row r="151">
          <cell r="D151" t="str">
            <v>AscensoristaBELO HORIZONTE / MG</v>
          </cell>
          <cell r="E151">
            <v>1004.99</v>
          </cell>
          <cell r="F151">
            <v>1125.5899999999999</v>
          </cell>
          <cell r="G151">
            <v>1260.6600000000001</v>
          </cell>
        </row>
        <row r="152">
          <cell r="D152" t="str">
            <v>Auxiliar AdministrativoBELO HORIZONTE / MG</v>
          </cell>
          <cell r="E152">
            <v>1417.36</v>
          </cell>
          <cell r="F152">
            <v>1587.44</v>
          </cell>
          <cell r="G152">
            <v>1777.93</v>
          </cell>
        </row>
        <row r="153">
          <cell r="D153" t="str">
            <v>Auxiliar de Serviços GeraisBELO HORIZONTE / MG</v>
          </cell>
          <cell r="E153">
            <v>956.55</v>
          </cell>
          <cell r="F153">
            <v>1071.31</v>
          </cell>
          <cell r="G153">
            <v>1199.8699999999999</v>
          </cell>
        </row>
        <row r="154">
          <cell r="D154" t="str">
            <v>CarregadorBELO HORIZONTE / MG</v>
          </cell>
          <cell r="E154">
            <v>956.55</v>
          </cell>
          <cell r="F154">
            <v>1071.31</v>
          </cell>
          <cell r="G154">
            <v>1199.8699999999999</v>
          </cell>
        </row>
        <row r="155">
          <cell r="D155" t="str">
            <v>CopeiroBELO HORIZONTE / MG</v>
          </cell>
          <cell r="E155">
            <v>956.55</v>
          </cell>
          <cell r="F155">
            <v>1071.31</v>
          </cell>
          <cell r="G155">
            <v>1199.8699999999999</v>
          </cell>
        </row>
        <row r="156">
          <cell r="D156" t="str">
            <v>Digitador 150 horasBELO HORIZONTE / MG</v>
          </cell>
          <cell r="E156">
            <v>1065.26</v>
          </cell>
          <cell r="F156">
            <v>1194.8499999999999</v>
          </cell>
          <cell r="G156">
            <v>1338.23</v>
          </cell>
        </row>
        <row r="157">
          <cell r="D157" t="str">
            <v>GarçomBELO HORIZONTE / MG</v>
          </cell>
          <cell r="E157">
            <v>2136.7199999999998</v>
          </cell>
          <cell r="F157">
            <v>2393.12</v>
          </cell>
          <cell r="G157">
            <v>2680.3</v>
          </cell>
        </row>
        <row r="158">
          <cell r="D158" t="str">
            <v>ManobristaBELO HORIZONTE / MG</v>
          </cell>
          <cell r="E158">
            <v>1428.77</v>
          </cell>
          <cell r="F158">
            <v>1600.22</v>
          </cell>
          <cell r="G158">
            <v>1792.26</v>
          </cell>
        </row>
        <row r="159">
          <cell r="D159" t="str">
            <v>Operador de Máquina Reprográfica BELO HORIZONTE / MG</v>
          </cell>
          <cell r="E159">
            <v>1202.78</v>
          </cell>
          <cell r="F159">
            <v>1347.11</v>
          </cell>
          <cell r="G159">
            <v>1508.75</v>
          </cell>
        </row>
        <row r="160">
          <cell r="D160" t="str">
            <v>Porteiro 220 horasBELO HORIZONTE / MG</v>
          </cell>
          <cell r="E160">
            <v>1407.02</v>
          </cell>
          <cell r="F160">
            <v>1575.86</v>
          </cell>
          <cell r="G160">
            <v>1764.96</v>
          </cell>
        </row>
        <row r="161">
          <cell r="D161" t="str">
            <v>Porteiro 12x36 DiurnoBELO HORIZONTE / MG</v>
          </cell>
          <cell r="E161">
            <v>1322.59</v>
          </cell>
          <cell r="F161">
            <v>1481.31</v>
          </cell>
          <cell r="G161">
            <v>1659.06</v>
          </cell>
        </row>
        <row r="162">
          <cell r="D162" t="str">
            <v>Porteiro 12x36 NoturnoBELO HORIZONTE / MG</v>
          </cell>
          <cell r="E162">
            <v>1519.53</v>
          </cell>
          <cell r="F162">
            <v>1701.88</v>
          </cell>
          <cell r="G162">
            <v>1906.1</v>
          </cell>
        </row>
        <row r="163">
          <cell r="D163" t="str">
            <v>Recepcionista 220BELO HORIZONTE / MG</v>
          </cell>
          <cell r="E163">
            <v>1970.46</v>
          </cell>
          <cell r="F163">
            <v>2206.92</v>
          </cell>
          <cell r="G163">
            <v>2471.75</v>
          </cell>
        </row>
        <row r="164">
          <cell r="D164" t="str">
            <v>Recepcionista 150BELO HORIZONTE / MG</v>
          </cell>
          <cell r="E164">
            <v>1343.5</v>
          </cell>
          <cell r="F164">
            <v>1504.72</v>
          </cell>
          <cell r="G164">
            <v>1685.29</v>
          </cell>
        </row>
        <row r="165">
          <cell r="D165" t="str">
            <v>Recepcionista 180BELO HORIZONTE / MG</v>
          </cell>
          <cell r="E165">
            <v>1612.2</v>
          </cell>
          <cell r="F165">
            <v>1805.66</v>
          </cell>
          <cell r="G165">
            <v>2022.34</v>
          </cell>
        </row>
        <row r="166">
          <cell r="D166" t="str">
            <v>Supervisor de Manutenção de VeículosBELO HORIZONTE / MG</v>
          </cell>
          <cell r="E166">
            <v>2581.87</v>
          </cell>
          <cell r="F166">
            <v>2891.69</v>
          </cell>
          <cell r="G166">
            <v>3238.69</v>
          </cell>
        </row>
        <row r="167">
          <cell r="D167" t="str">
            <v>Técnico de Manutenção EletrônicaBELO HORIZONTE / MG</v>
          </cell>
          <cell r="E167">
            <v>2379.54</v>
          </cell>
          <cell r="F167">
            <v>2665.08</v>
          </cell>
          <cell r="G167">
            <v>2984.89</v>
          </cell>
        </row>
        <row r="168">
          <cell r="D168" t="str">
            <v>Telefonista 150 horasBELO HORIZONTE / MG</v>
          </cell>
          <cell r="E168">
            <v>1544.65</v>
          </cell>
          <cell r="F168">
            <v>1656.17</v>
          </cell>
          <cell r="G168">
            <v>1854.9</v>
          </cell>
        </row>
      </sheetData>
      <sheetData sheetId="5" refreshError="1">
        <row r="3">
          <cell r="D3" t="str">
            <v>FUNÇÕES/LOCALIDADE</v>
          </cell>
          <cell r="E3" t="str">
            <v>Valor Unitário</v>
          </cell>
          <cell r="F3" t="str">
            <v>Valor Unitário</v>
          </cell>
          <cell r="G3" t="str">
            <v>Valor Unitário</v>
          </cell>
        </row>
        <row r="4">
          <cell r="D4" t="str">
            <v>Servente de Limpeza 150 horasÁGUAS FORMOSAS / MG</v>
          </cell>
          <cell r="E4">
            <v>964.5</v>
          </cell>
          <cell r="F4">
            <v>1058.5899999999999</v>
          </cell>
          <cell r="G4">
            <v>1163.96</v>
          </cell>
        </row>
        <row r="5">
          <cell r="D5" t="str">
            <v>Servente de Limpeza 110 horasAIURUOCA / MG</v>
          </cell>
          <cell r="E5">
            <v>644.57000000000005</v>
          </cell>
          <cell r="F5">
            <v>700.75</v>
          </cell>
          <cell r="G5">
            <v>763.68</v>
          </cell>
        </row>
        <row r="6">
          <cell r="D6" t="str">
            <v>Servente de Limpeza 150 horasALFENAS / MG</v>
          </cell>
          <cell r="E6">
            <v>964.5</v>
          </cell>
          <cell r="F6">
            <v>1058.5899999999999</v>
          </cell>
          <cell r="G6">
            <v>1163.96</v>
          </cell>
        </row>
        <row r="7">
          <cell r="D7" t="str">
            <v>Servente de Limpeza 220 horasALMENARA / MG</v>
          </cell>
          <cell r="E7">
            <v>1138.73</v>
          </cell>
          <cell r="F7">
            <v>1253.73</v>
          </cell>
          <cell r="G7">
            <v>1382.53</v>
          </cell>
        </row>
        <row r="8">
          <cell r="D8" t="str">
            <v>Servente de Limpeza 110 horasANDRADAS/MG</v>
          </cell>
          <cell r="E8">
            <v>0</v>
          </cell>
          <cell r="F8">
            <v>0</v>
          </cell>
          <cell r="G8">
            <v>781.49</v>
          </cell>
        </row>
        <row r="9">
          <cell r="D9" t="str">
            <v>Servente de Limpeza 110 horasARAÇUAÍ / MG</v>
          </cell>
          <cell r="E9">
            <v>644.57000000000005</v>
          </cell>
          <cell r="F9">
            <v>700.75</v>
          </cell>
          <cell r="G9">
            <v>763.68</v>
          </cell>
        </row>
        <row r="10">
          <cell r="D10" t="str">
            <v>Servente de Limpeza 220 horasARAGUARI / MG</v>
          </cell>
          <cell r="E10">
            <v>1112.78</v>
          </cell>
          <cell r="F10">
            <v>1225.1500000000001</v>
          </cell>
          <cell r="G10">
            <v>1351.02</v>
          </cell>
        </row>
        <row r="11">
          <cell r="D11" t="str">
            <v>Servente de Limpeza 150 horasARAGUARI / MG</v>
          </cell>
          <cell r="E11">
            <v>942.52</v>
          </cell>
          <cell r="F11">
            <v>1034.46</v>
          </cell>
          <cell r="G11">
            <v>1137.43</v>
          </cell>
        </row>
        <row r="12">
          <cell r="D12" t="str">
            <v>Servente de Limpeza 110 horasARAGUARI / MG</v>
          </cell>
          <cell r="E12">
            <v>644.57000000000005</v>
          </cell>
          <cell r="F12">
            <v>700.75</v>
          </cell>
          <cell r="G12">
            <v>763.68</v>
          </cell>
        </row>
        <row r="13">
          <cell r="D13" t="str">
            <v>Servente de Limpeza 220 horasARAXÁ / MG</v>
          </cell>
          <cell r="E13">
            <v>1130.92</v>
          </cell>
          <cell r="F13">
            <v>1245.69</v>
          </cell>
          <cell r="G13">
            <v>1374.24</v>
          </cell>
        </row>
        <row r="14">
          <cell r="D14" t="str">
            <v>Arcos</v>
          </cell>
          <cell r="E14">
            <v>0</v>
          </cell>
          <cell r="G14">
            <v>0</v>
          </cell>
        </row>
        <row r="15">
          <cell r="D15" t="str">
            <v>Servente de Limpeza 150 horasBARBACENA / MG</v>
          </cell>
          <cell r="E15">
            <v>937.18</v>
          </cell>
          <cell r="F15">
            <v>1028.5999999999999</v>
          </cell>
        </row>
        <row r="16">
          <cell r="D16" t="str">
            <v>Servente de Limpeza 220 horasBARBACENA / MG</v>
          </cell>
          <cell r="F16">
            <v>1218.21</v>
          </cell>
          <cell r="G16">
            <v>1343.36</v>
          </cell>
        </row>
        <row r="17">
          <cell r="D17" t="str">
            <v>Servente de Limpeza 110 horasBOA ESPERANÇA/MG</v>
          </cell>
          <cell r="F17">
            <v>708.83</v>
          </cell>
          <cell r="G17">
            <v>772.48</v>
          </cell>
        </row>
        <row r="18">
          <cell r="D18" t="str">
            <v>Servente de Limpeza 220 horasBETIM / MG</v>
          </cell>
          <cell r="E18">
            <v>1137.33</v>
          </cell>
          <cell r="F18">
            <v>1252.73</v>
          </cell>
          <cell r="G18">
            <v>1382.03</v>
          </cell>
        </row>
        <row r="19">
          <cell r="D19" t="str">
            <v>Servente de Limpeza 110 horasCAETÉ/MG</v>
          </cell>
          <cell r="E19">
            <v>0</v>
          </cell>
          <cell r="F19">
            <v>0</v>
          </cell>
          <cell r="G19">
            <v>783.13</v>
          </cell>
        </row>
        <row r="20">
          <cell r="D20" t="str">
            <v>Servente de Limpeza 150 horasCAMPO BELO / MG</v>
          </cell>
          <cell r="E20">
            <v>942.52</v>
          </cell>
          <cell r="F20">
            <v>1034.46</v>
          </cell>
          <cell r="G20">
            <v>1137.43</v>
          </cell>
        </row>
        <row r="21">
          <cell r="D21" t="str">
            <v>Servente de Limpeza 55 horasCARANGOLA / MG</v>
          </cell>
          <cell r="E21">
            <v>420.03</v>
          </cell>
          <cell r="F21">
            <v>448.78</v>
          </cell>
          <cell r="G21">
            <v>480.99</v>
          </cell>
        </row>
        <row r="22">
          <cell r="D22" t="str">
            <v>Servente de Limpeza 150 horasCARATINGA / MG</v>
          </cell>
          <cell r="E22">
            <v>942.52</v>
          </cell>
          <cell r="F22">
            <v>1034.46</v>
          </cell>
          <cell r="G22">
            <v>1137.44</v>
          </cell>
        </row>
        <row r="23">
          <cell r="D23" t="str">
            <v>Servente de Limpeza 110 horasCARMO DO PARANAÍBA / MG</v>
          </cell>
          <cell r="E23">
            <v>644.57000000000005</v>
          </cell>
          <cell r="F23">
            <v>700.75</v>
          </cell>
          <cell r="G23">
            <v>763.68</v>
          </cell>
        </row>
        <row r="24">
          <cell r="D24" t="str">
            <v>Servente de Limpeza 220 horasCARMO DO PARANAÍBA / MG</v>
          </cell>
          <cell r="F24">
            <v>1225.1500000000001</v>
          </cell>
          <cell r="G24">
            <v>1351.01</v>
          </cell>
        </row>
        <row r="25">
          <cell r="D25" t="str">
            <v>Servente de Limpeza 220 horasCONGONHAS / MG</v>
          </cell>
          <cell r="E25">
            <v>1125.6099999999999</v>
          </cell>
          <cell r="F25">
            <v>1239.27</v>
          </cell>
          <cell r="G25">
            <v>1366.59</v>
          </cell>
        </row>
        <row r="26">
          <cell r="D26" t="str">
            <v>Servente de Limpeza 150 horasCONSELHEIRO LAFAIETE / MG</v>
          </cell>
          <cell r="E26">
            <v>942.52</v>
          </cell>
          <cell r="F26">
            <v>1034.46</v>
          </cell>
          <cell r="G26">
            <v>1137.43</v>
          </cell>
        </row>
        <row r="27">
          <cell r="D27" t="str">
            <v>Servente de Limpeza 220 horasCONSELHEIRO LAFAIETE / MG</v>
          </cell>
          <cell r="F27">
            <v>1225.1500000000001</v>
          </cell>
          <cell r="G27">
            <v>1351.02</v>
          </cell>
        </row>
        <row r="28">
          <cell r="D28" t="str">
            <v>Servente de Limpeza 220 horasCONTAGEM / MG</v>
          </cell>
          <cell r="E28">
            <v>1130.92</v>
          </cell>
          <cell r="F28">
            <v>1245.67</v>
          </cell>
          <cell r="G28">
            <v>1374.24</v>
          </cell>
        </row>
        <row r="29">
          <cell r="D29" t="str">
            <v>Servente de Limpeza 110horasCONQUISTA/ MG</v>
          </cell>
          <cell r="E29">
            <v>0</v>
          </cell>
          <cell r="F29">
            <v>692.86</v>
          </cell>
          <cell r="G29">
            <v>755.08</v>
          </cell>
        </row>
        <row r="30">
          <cell r="D30" t="str">
            <v>Servente de Limpeza 55 horasCORINTO / MG</v>
          </cell>
          <cell r="E30">
            <v>410.46</v>
          </cell>
          <cell r="F30">
            <v>438.55</v>
          </cell>
          <cell r="G30">
            <v>470.02</v>
          </cell>
        </row>
        <row r="31">
          <cell r="D31" t="str">
            <v>Servente de Limpeza 55 horasCOROMANDEL / MG</v>
          </cell>
          <cell r="E31">
            <v>405.83</v>
          </cell>
          <cell r="F31">
            <v>433.61</v>
          </cell>
          <cell r="G31">
            <v>464.72</v>
          </cell>
        </row>
        <row r="32">
          <cell r="D32" t="str">
            <v>Servente de Limpeza 110 horasDIAMANTINA / MG</v>
          </cell>
          <cell r="E32">
            <v>644.57000000000005</v>
          </cell>
          <cell r="F32">
            <v>700.75</v>
          </cell>
          <cell r="G32">
            <v>763.68</v>
          </cell>
        </row>
        <row r="33">
          <cell r="D33" t="str">
            <v>Servente de Limpeza 150 horasDIAMANTINA / MG</v>
          </cell>
          <cell r="E33">
            <v>0</v>
          </cell>
          <cell r="F33">
            <v>0</v>
          </cell>
          <cell r="G33">
            <v>1137.43</v>
          </cell>
        </row>
        <row r="34">
          <cell r="D34" t="str">
            <v>Servente de Limpeza 150 horasDIVINÓPOLIS / MG</v>
          </cell>
          <cell r="E34">
            <v>967.91</v>
          </cell>
          <cell r="F34">
            <v>1062.8900000000001</v>
          </cell>
          <cell r="G34">
            <v>1169.3</v>
          </cell>
        </row>
        <row r="35">
          <cell r="D35" t="str">
            <v>Servente de Limpeza 110 horasDIVINÓPOLIS / MG</v>
          </cell>
          <cell r="E35">
            <v>660.07</v>
          </cell>
          <cell r="F35">
            <v>718.12</v>
          </cell>
          <cell r="G35">
            <v>783.13</v>
          </cell>
        </row>
        <row r="36">
          <cell r="D36" t="str">
            <v>Servente de Limpeza 220 horasFORMIGA / MG</v>
          </cell>
          <cell r="E36">
            <v>1100.24</v>
          </cell>
          <cell r="F36">
            <v>1211.3499999999999</v>
          </cell>
          <cell r="G36">
            <v>1335.8</v>
          </cell>
        </row>
        <row r="37">
          <cell r="D37" t="str">
            <v>Servente de Limpeza 55 horasFRUTAL / MG</v>
          </cell>
          <cell r="E37">
            <v>405.83</v>
          </cell>
          <cell r="F37">
            <v>433.61</v>
          </cell>
          <cell r="G37">
            <v>464.73</v>
          </cell>
        </row>
        <row r="38">
          <cell r="D38" t="str">
            <v>Servente de Limpeza 220 horasGOVERNADOR VALADARES / MG</v>
          </cell>
          <cell r="E38">
            <v>1170.49</v>
          </cell>
          <cell r="F38">
            <v>1289.25</v>
          </cell>
          <cell r="G38">
            <v>1422.31</v>
          </cell>
        </row>
        <row r="39">
          <cell r="D39" t="str">
            <v>Servente de Limpeza 110 horasGOVERNADOR VALADARES / MG</v>
          </cell>
          <cell r="F39">
            <v>734.86</v>
          </cell>
          <cell r="G39">
            <v>801.39</v>
          </cell>
        </row>
        <row r="40">
          <cell r="D40" t="str">
            <v>Servente de Limpeza 55 horasGUANHÃES / MG</v>
          </cell>
          <cell r="E40">
            <v>408.13</v>
          </cell>
          <cell r="F40">
            <v>436.07</v>
          </cell>
          <cell r="G40">
            <v>467.36</v>
          </cell>
        </row>
        <row r="41">
          <cell r="D41" t="str">
            <v>Servente de Limpeza 55 horasIBIA / MG</v>
          </cell>
          <cell r="E41">
            <v>405.83</v>
          </cell>
          <cell r="F41">
            <v>433.61</v>
          </cell>
          <cell r="G41">
            <v>464.72</v>
          </cell>
        </row>
        <row r="42">
          <cell r="D42" t="str">
            <v>Servente de Limpeza 220 horasIBIRITÉ / MG</v>
          </cell>
          <cell r="E42">
            <v>0</v>
          </cell>
          <cell r="F42">
            <v>1425.68</v>
          </cell>
          <cell r="G42">
            <v>1374.24</v>
          </cell>
        </row>
        <row r="43">
          <cell r="D43" t="str">
            <v>Servente de Limpeza 220 horasIPATINGA / MG</v>
          </cell>
          <cell r="E43">
            <v>1112.78</v>
          </cell>
          <cell r="F43">
            <v>1259.8699999999999</v>
          </cell>
          <cell r="G43">
            <v>1389.9</v>
          </cell>
        </row>
        <row r="44">
          <cell r="D44" t="str">
            <v>Servente de Limpeza 110 horasITABIRA/MG</v>
          </cell>
          <cell r="E44">
            <v>0</v>
          </cell>
          <cell r="F44">
            <v>0</v>
          </cell>
          <cell r="G44">
            <v>763.68</v>
          </cell>
        </row>
        <row r="45">
          <cell r="D45" t="str">
            <v>Servente de Limpeza 150 horasITABIRITO / MG</v>
          </cell>
          <cell r="E45">
            <v>931.9</v>
          </cell>
          <cell r="F45">
            <v>1022.8</v>
          </cell>
          <cell r="G45">
            <v>1124.6199999999999</v>
          </cell>
        </row>
        <row r="46">
          <cell r="D46" t="str">
            <v>Servente de Limpeza 220 horasITAJUBÁ / MG</v>
          </cell>
          <cell r="E46">
            <v>1100.24</v>
          </cell>
          <cell r="F46">
            <v>1211.3499999999999</v>
          </cell>
          <cell r="G46">
            <v>1335.8</v>
          </cell>
        </row>
        <row r="47">
          <cell r="D47" t="str">
            <v>Servente de Limpeza 150 horasITAJUBÁ / MG</v>
          </cell>
          <cell r="E47">
            <v>931.9</v>
          </cell>
          <cell r="F47">
            <v>1022.8</v>
          </cell>
          <cell r="G47">
            <v>1124.6199999999999</v>
          </cell>
        </row>
        <row r="48">
          <cell r="D48" t="str">
            <v>Servente de Limpeza 55 horasITAMONTE / MG</v>
          </cell>
          <cell r="E48">
            <v>410.46</v>
          </cell>
          <cell r="F48">
            <v>438.55</v>
          </cell>
          <cell r="G48">
            <v>470.02</v>
          </cell>
        </row>
        <row r="49">
          <cell r="D49" t="str">
            <v>Servente de Limpeza 150 horasITAÚNA / MG</v>
          </cell>
          <cell r="E49">
            <v>931.9</v>
          </cell>
          <cell r="F49">
            <v>1022.8</v>
          </cell>
          <cell r="G49">
            <v>1124.6199999999999</v>
          </cell>
        </row>
        <row r="50">
          <cell r="D50" t="str">
            <v>Servente de Limpeza 150 horasITUIUTABA / MG</v>
          </cell>
          <cell r="E50">
            <v>953.38</v>
          </cell>
          <cell r="F50">
            <v>1046.3800000000001</v>
          </cell>
          <cell r="G50">
            <v>1150.54</v>
          </cell>
        </row>
        <row r="51">
          <cell r="D51" t="str">
            <v>Servente de Limpeza 150 horasJANAÚBA / MG</v>
          </cell>
          <cell r="E51">
            <v>931.9</v>
          </cell>
          <cell r="F51">
            <v>1022.8</v>
          </cell>
          <cell r="G51">
            <v>1124.6199999999999</v>
          </cell>
        </row>
        <row r="52">
          <cell r="D52" t="str">
            <v>Servente de Limpeza 110 horasJANUÁRIA / MG</v>
          </cell>
          <cell r="E52">
            <v>644.57000000000005</v>
          </cell>
          <cell r="F52">
            <v>700.75</v>
          </cell>
        </row>
        <row r="53">
          <cell r="D53" t="str">
            <v>Servente de Limpeza 150 horasJANUÁRIA / MG</v>
          </cell>
          <cell r="F53">
            <v>1034.46</v>
          </cell>
          <cell r="G53">
            <v>1137.43</v>
          </cell>
        </row>
        <row r="54">
          <cell r="D54" t="str">
            <v>Servente de Limpeza 220 horasJOÃO PINHEIRO / MG</v>
          </cell>
          <cell r="E54">
            <v>1112.78</v>
          </cell>
          <cell r="F54">
            <v>1225.1500000000001</v>
          </cell>
          <cell r="G54">
            <v>1351.02</v>
          </cell>
        </row>
        <row r="55">
          <cell r="D55" t="str">
            <v>Servente de Limpeza 220 horasJUIZ DE FORA / MG</v>
          </cell>
          <cell r="E55">
            <v>1153.46</v>
          </cell>
          <cell r="F55">
            <v>1210.6199999999999</v>
          </cell>
          <cell r="G55">
            <v>1365.76</v>
          </cell>
        </row>
        <row r="56">
          <cell r="D56" t="str">
            <v>Servente de Limpeza 220 horasLAVRAS / MG</v>
          </cell>
          <cell r="E56">
            <v>1112.78</v>
          </cell>
          <cell r="F56">
            <v>1225.1500000000001</v>
          </cell>
          <cell r="G56">
            <v>1351.02</v>
          </cell>
        </row>
        <row r="57">
          <cell r="D57" t="str">
            <v>Servente de Limpeza 220 horasLEOPOLDINA / MG</v>
          </cell>
          <cell r="E57">
            <v>1100.24</v>
          </cell>
          <cell r="F57">
            <v>1211.3499999999999</v>
          </cell>
          <cell r="G57">
            <v>1335.8</v>
          </cell>
        </row>
        <row r="58">
          <cell r="D58" t="str">
            <v>Servente de Limpeza 110 horasMACHADO / MG</v>
          </cell>
          <cell r="E58">
            <v>637.29999999999995</v>
          </cell>
          <cell r="F58">
            <v>692.86</v>
          </cell>
          <cell r="G58">
            <v>755.07</v>
          </cell>
        </row>
        <row r="59">
          <cell r="D59" t="str">
            <v>Servente de Limpeza 220 horasManga</v>
          </cell>
          <cell r="E59">
            <v>0</v>
          </cell>
          <cell r="F59">
            <v>0</v>
          </cell>
          <cell r="G59">
            <v>1351.01</v>
          </cell>
        </row>
        <row r="60">
          <cell r="D60" t="str">
            <v>Servente de Limpeza 220 horasMATEUS LEME / MG</v>
          </cell>
          <cell r="E60">
            <v>1130.92</v>
          </cell>
          <cell r="F60">
            <v>1245.67</v>
          </cell>
          <cell r="G60">
            <v>1374.24</v>
          </cell>
        </row>
        <row r="61">
          <cell r="D61" t="str">
            <v>Servente de Limpeza 55 horasMINAS NOVAS/MG</v>
          </cell>
          <cell r="E61">
            <v>0</v>
          </cell>
          <cell r="F61">
            <v>0</v>
          </cell>
          <cell r="G61">
            <v>470.02</v>
          </cell>
        </row>
        <row r="62">
          <cell r="D62" t="str">
            <v>Servente de Limpeza 55 horasMIRAÍ/MG</v>
          </cell>
          <cell r="E62">
            <v>0</v>
          </cell>
          <cell r="F62">
            <v>0</v>
          </cell>
          <cell r="G62">
            <v>470.02</v>
          </cell>
        </row>
        <row r="63">
          <cell r="D63" t="str">
            <v>Servente de Limpeza 220 horasMONTES CLAROS / MG</v>
          </cell>
          <cell r="E63">
            <v>1143.81</v>
          </cell>
          <cell r="F63">
            <v>1259.8900000000001</v>
          </cell>
          <cell r="G63">
            <v>1389.89</v>
          </cell>
        </row>
        <row r="64">
          <cell r="D64" t="str">
            <v>Servente de Limpeza 150 horasMONTES CLAROS / MG</v>
          </cell>
          <cell r="E64">
            <v>0</v>
          </cell>
          <cell r="F64">
            <v>0</v>
          </cell>
          <cell r="G64">
            <v>1169.26</v>
          </cell>
        </row>
        <row r="65">
          <cell r="D65" t="str">
            <v>Servente de Limpeza 220 horasMorada Nova de Minas</v>
          </cell>
          <cell r="E65">
            <v>1100.24</v>
          </cell>
          <cell r="F65">
            <v>1211.3499999999999</v>
          </cell>
          <cell r="G65">
            <v>1335.8</v>
          </cell>
        </row>
        <row r="66">
          <cell r="D66" t="str">
            <v>Servente de Limpeza 110 horasMURIAE / MG</v>
          </cell>
          <cell r="E66">
            <v>644.57000000000005</v>
          </cell>
          <cell r="F66">
            <v>700.75</v>
          </cell>
          <cell r="G66">
            <v>763.68</v>
          </cell>
        </row>
        <row r="67">
          <cell r="D67" t="str">
            <v>Servente de Limpeza 220 horasNova Lima / MG</v>
          </cell>
          <cell r="E67">
            <v>1143.81</v>
          </cell>
          <cell r="F67">
            <v>1259.8699999999999</v>
          </cell>
          <cell r="G67">
            <v>1389.9</v>
          </cell>
        </row>
        <row r="68">
          <cell r="D68" t="str">
            <v>Servente de Limpeza 150 horasNova Lima / MG</v>
          </cell>
          <cell r="E68">
            <v>1062.8800000000001</v>
          </cell>
          <cell r="F68">
            <v>1062.8800000000001</v>
          </cell>
          <cell r="G68">
            <v>1169.26</v>
          </cell>
        </row>
        <row r="69">
          <cell r="D69" t="str">
            <v>Servente de Limpeza 150 horasNOVA PONTE / MG</v>
          </cell>
          <cell r="E69">
            <v>931.9</v>
          </cell>
          <cell r="F69">
            <v>1022.8</v>
          </cell>
          <cell r="G69">
            <v>1124.6199999999999</v>
          </cell>
        </row>
        <row r="70">
          <cell r="D70" t="str">
            <v>Nova Serrana / MG</v>
          </cell>
          <cell r="E70">
            <v>0</v>
          </cell>
          <cell r="G70">
            <v>0</v>
          </cell>
        </row>
        <row r="71">
          <cell r="D71" t="str">
            <v>Oliveira</v>
          </cell>
          <cell r="E71">
            <v>0</v>
          </cell>
          <cell r="G71">
            <v>0</v>
          </cell>
        </row>
        <row r="72">
          <cell r="D72" t="str">
            <v>Servente de Limpeza 220 horasOURO PRETO / MG</v>
          </cell>
          <cell r="E72">
            <v>1112.78</v>
          </cell>
          <cell r="F72">
            <v>1225.1500000000001</v>
          </cell>
          <cell r="G72">
            <v>1351.02</v>
          </cell>
        </row>
        <row r="73">
          <cell r="D73" t="str">
            <v>Servente de Limpeza 220 horasPARÁ DE MINAS / MG</v>
          </cell>
          <cell r="E73">
            <v>1112.78</v>
          </cell>
          <cell r="F73">
            <v>1225.1500000000001</v>
          </cell>
          <cell r="G73">
            <v>1351.02</v>
          </cell>
        </row>
        <row r="74">
          <cell r="D74" t="str">
            <v>Paracatu / MG</v>
          </cell>
          <cell r="E74">
            <v>0</v>
          </cell>
          <cell r="G74">
            <v>0</v>
          </cell>
        </row>
        <row r="75">
          <cell r="D75" t="str">
            <v>Servente de Limpeza 220 horasPASSOS / MG</v>
          </cell>
          <cell r="E75">
            <v>1112.78</v>
          </cell>
          <cell r="F75">
            <v>1225.1500000000001</v>
          </cell>
          <cell r="G75">
            <v>1351.02</v>
          </cell>
        </row>
        <row r="76">
          <cell r="D76" t="str">
            <v>Servente de Limpeza 220 horasPATOS DE MINAS / MG</v>
          </cell>
          <cell r="E76">
            <v>1100.24</v>
          </cell>
          <cell r="F76">
            <v>1211.3499999999999</v>
          </cell>
          <cell r="G76">
            <v>1335.8</v>
          </cell>
        </row>
        <row r="77">
          <cell r="D77" t="str">
            <v>Servente de Limpeza 110 horasPATOS DE MINAS / MG</v>
          </cell>
          <cell r="E77">
            <v>637.29999999999995</v>
          </cell>
          <cell r="F77">
            <v>692.86</v>
          </cell>
          <cell r="G77">
            <v>755.07</v>
          </cell>
        </row>
        <row r="78">
          <cell r="D78" t="str">
            <v>Servente de Limpeza 220 horasPEDRO LEOPOLDO / MG</v>
          </cell>
          <cell r="E78">
            <v>1130.92</v>
          </cell>
          <cell r="F78">
            <v>1245.69</v>
          </cell>
          <cell r="G78">
            <v>1374.24</v>
          </cell>
        </row>
        <row r="79">
          <cell r="D79" t="str">
            <v>Servente de Limpeza 220 horasPirapetinga / MG</v>
          </cell>
          <cell r="E79">
            <v>1100.24</v>
          </cell>
          <cell r="F79">
            <v>1211.3499999999999</v>
          </cell>
          <cell r="G79">
            <v>1335.8</v>
          </cell>
        </row>
        <row r="80">
          <cell r="D80" t="str">
            <v>Servente de Limpeza 55 horasPITANGUI/MG</v>
          </cell>
          <cell r="E80">
            <v>0</v>
          </cell>
          <cell r="G80">
            <v>464.73</v>
          </cell>
        </row>
        <row r="81">
          <cell r="D81" t="str">
            <v xml:space="preserve">Servente de Limpeza 55 horasPIUNHI / MG </v>
          </cell>
          <cell r="E81">
            <v>0</v>
          </cell>
          <cell r="F81">
            <v>448.77</v>
          </cell>
          <cell r="G81">
            <v>480.99</v>
          </cell>
        </row>
        <row r="82">
          <cell r="D82" t="str">
            <v>Servente de Limpeza 55 horasPOÇOS FUNDO/MG</v>
          </cell>
          <cell r="E82">
            <v>0</v>
          </cell>
          <cell r="F82">
            <v>438.54</v>
          </cell>
          <cell r="G82">
            <v>470.02</v>
          </cell>
        </row>
        <row r="83">
          <cell r="D83" t="str">
            <v>Servente de Limpeza 220 horasPOÇOS DE CALDAS / MG</v>
          </cell>
          <cell r="E83">
            <v>1138.73</v>
          </cell>
          <cell r="F83">
            <v>1253.73</v>
          </cell>
          <cell r="G83">
            <v>1382.53</v>
          </cell>
        </row>
        <row r="84">
          <cell r="D84" t="str">
            <v>Servente de Limpeza 220 horasPONTE NOVA / MG</v>
          </cell>
          <cell r="E84">
            <v>1112.78</v>
          </cell>
          <cell r="F84">
            <v>1225.1500000000001</v>
          </cell>
          <cell r="G84">
            <v>1351.02</v>
          </cell>
        </row>
        <row r="85">
          <cell r="D85" t="str">
            <v>Servente de Limpeza 150 horasPONTE NOVA / MG</v>
          </cell>
          <cell r="E85">
            <v>942.52</v>
          </cell>
          <cell r="F85">
            <v>1034.46</v>
          </cell>
          <cell r="G85">
            <v>1137.43</v>
          </cell>
        </row>
        <row r="86">
          <cell r="D86" t="str">
            <v>Servente de Limpeza 110 horasPorteirinha/MG</v>
          </cell>
          <cell r="E86">
            <v>0</v>
          </cell>
          <cell r="F86">
            <v>0</v>
          </cell>
          <cell r="G86">
            <v>763.69</v>
          </cell>
        </row>
        <row r="87">
          <cell r="D87" t="str">
            <v>Servente de Limpeza 220 horasPouso Alegre / MG</v>
          </cell>
          <cell r="E87">
            <v>1100.24</v>
          </cell>
          <cell r="F87">
            <v>1211.3499999999999</v>
          </cell>
          <cell r="G87">
            <v>1335.8</v>
          </cell>
        </row>
        <row r="88">
          <cell r="D88" t="str">
            <v>Servente de Limpeza 220 horasRIBEIRÃO DAS NEVES/MG</v>
          </cell>
          <cell r="E88">
            <v>1170.49</v>
          </cell>
          <cell r="F88">
            <v>1289.25</v>
          </cell>
          <cell r="G88">
            <v>1422.32</v>
          </cell>
        </row>
        <row r="89">
          <cell r="D89" t="str">
            <v>Servente de Limpeza 110 horasRIBEIRÃO DAS NEVES/MG</v>
          </cell>
          <cell r="F89">
            <v>734.86</v>
          </cell>
          <cell r="G89">
            <v>801.39</v>
          </cell>
        </row>
        <row r="90">
          <cell r="D90" t="str">
            <v>Servente de Limpeza 55 horasSACRAMENTO / MG</v>
          </cell>
          <cell r="E90">
            <v>410.46</v>
          </cell>
          <cell r="F90">
            <v>438.55</v>
          </cell>
          <cell r="G90">
            <v>470.02</v>
          </cell>
        </row>
        <row r="91">
          <cell r="D91" t="str">
            <v>Santa Luzia / MG</v>
          </cell>
          <cell r="E91">
            <v>0</v>
          </cell>
          <cell r="G91">
            <v>0</v>
          </cell>
        </row>
        <row r="92">
          <cell r="D92" t="str">
            <v>Servente de Limpeza 55 horasSANTA RITA SAPUCAÍ / MG</v>
          </cell>
          <cell r="E92">
            <v>410.46</v>
          </cell>
          <cell r="F92">
            <v>438.55</v>
          </cell>
          <cell r="G92">
            <v>470.02</v>
          </cell>
        </row>
        <row r="93">
          <cell r="D93" t="str">
            <v>Servente de Limpeza 55 horasSANTA VITÓRIA / MG</v>
          </cell>
          <cell r="E93">
            <v>415.19</v>
          </cell>
          <cell r="F93">
            <v>443.61</v>
          </cell>
          <cell r="G93">
            <v>475.43</v>
          </cell>
        </row>
        <row r="94">
          <cell r="D94" t="str">
            <v>Servente de Limpeza 150 horasSANTO ANTÔNIO DO MONTE / MG</v>
          </cell>
          <cell r="E94">
            <v>942.52</v>
          </cell>
          <cell r="F94">
            <v>1034.46</v>
          </cell>
          <cell r="G94">
            <v>1137.43</v>
          </cell>
        </row>
        <row r="95">
          <cell r="D95" t="str">
            <v>Santos Dumont / MG</v>
          </cell>
          <cell r="E95">
            <v>0</v>
          </cell>
          <cell r="G95">
            <v>0</v>
          </cell>
        </row>
        <row r="96">
          <cell r="D96" t="str">
            <v>Servente de Limpeza 150 horasSÃO FRANCISCO / MG</v>
          </cell>
          <cell r="E96">
            <v>931.9</v>
          </cell>
          <cell r="F96">
            <v>1022.8</v>
          </cell>
          <cell r="G96">
            <v>1124.6199999999999</v>
          </cell>
        </row>
        <row r="97">
          <cell r="D97" t="str">
            <v>Servente de Limpeza 55 horasSÃO GONÇALO DO SAPUCAÍ / MG</v>
          </cell>
          <cell r="E97">
            <v>405.83</v>
          </cell>
          <cell r="F97">
            <v>433.61</v>
          </cell>
          <cell r="G97">
            <v>464.73</v>
          </cell>
        </row>
        <row r="98">
          <cell r="D98" t="str">
            <v>Servente de Limpeza 220 horasSÃO JOAO DEL REI</v>
          </cell>
          <cell r="E98">
            <v>1100.24</v>
          </cell>
          <cell r="F98">
            <v>1211.3499999999999</v>
          </cell>
          <cell r="G98">
            <v>1335.8</v>
          </cell>
        </row>
        <row r="99">
          <cell r="D99" t="str">
            <v>Servente de Limpeza 110 horasSÃO LOURENÇO / MG</v>
          </cell>
          <cell r="E99">
            <v>644.57000000000005</v>
          </cell>
          <cell r="F99">
            <v>700.75</v>
          </cell>
          <cell r="G99">
            <v>783.12</v>
          </cell>
        </row>
        <row r="100">
          <cell r="D100" t="str">
            <v>Servente de Limpeza 150 horasSÃO SEBASTIÃO DO PARAÍSO / MG</v>
          </cell>
          <cell r="E100">
            <v>942.52</v>
          </cell>
          <cell r="F100">
            <v>1034.46</v>
          </cell>
          <cell r="G100">
            <v>1137.43</v>
          </cell>
        </row>
        <row r="101">
          <cell r="D101" t="str">
            <v>Servente de Limpeza 220 horasSETE LAGOAS / MG</v>
          </cell>
          <cell r="E101">
            <v>1143.81</v>
          </cell>
          <cell r="F101">
            <v>1259.8900000000001</v>
          </cell>
          <cell r="G101">
            <v>1389.89</v>
          </cell>
        </row>
        <row r="102">
          <cell r="D102" t="str">
            <v>Servente de Limpeza 150 horasSETE LAGOAS / MG</v>
          </cell>
          <cell r="E102">
            <v>0</v>
          </cell>
          <cell r="F102">
            <v>0</v>
          </cell>
          <cell r="G102">
            <v>1169.26</v>
          </cell>
        </row>
        <row r="103">
          <cell r="D103" t="str">
            <v>Servente de Limpeza 220 horasTEÓFILO OTONI / MG</v>
          </cell>
          <cell r="E103">
            <v>1112.78</v>
          </cell>
          <cell r="F103">
            <v>1225.1500000000001</v>
          </cell>
          <cell r="G103">
            <v>1351.02</v>
          </cell>
        </row>
        <row r="104">
          <cell r="D104" t="str">
            <v>Servente de Limpeza 150 horasTEÓFILO OTONI / MG</v>
          </cell>
          <cell r="E104">
            <v>942.52</v>
          </cell>
          <cell r="F104">
            <v>1034.46</v>
          </cell>
          <cell r="G104">
            <v>1137.43</v>
          </cell>
        </row>
        <row r="105">
          <cell r="D105" t="str">
            <v>Servente de Limpeza 110 horasTUPACIGUARA / MG</v>
          </cell>
          <cell r="E105">
            <v>637.29999999999995</v>
          </cell>
          <cell r="F105">
            <v>692.86</v>
          </cell>
          <cell r="G105">
            <v>755.07</v>
          </cell>
        </row>
        <row r="106">
          <cell r="D106" t="str">
            <v>Servente de Limpeza 110 horasTRES PONTAS / MG</v>
          </cell>
          <cell r="E106">
            <v>640.91</v>
          </cell>
          <cell r="F106">
            <v>696.78</v>
          </cell>
          <cell r="G106">
            <v>759.35</v>
          </cell>
        </row>
        <row r="107">
          <cell r="D107" t="str">
            <v>Servente de Limpeza 150 horasUBÁ / MG</v>
          </cell>
          <cell r="E107">
            <v>942.52</v>
          </cell>
          <cell r="F107">
            <v>1034.46</v>
          </cell>
          <cell r="G107">
            <v>1137.43</v>
          </cell>
        </row>
        <row r="108">
          <cell r="D108" t="str">
            <v>Servente de Limpeza 220 horasUBÁ / MG</v>
          </cell>
          <cell r="F108">
            <v>1225.1500000000001</v>
          </cell>
          <cell r="G108">
            <v>1351.02</v>
          </cell>
        </row>
        <row r="109">
          <cell r="D109" t="str">
            <v>Servente de Limpeza 220 horasUBERABA / MG</v>
          </cell>
          <cell r="E109">
            <v>1143.81</v>
          </cell>
          <cell r="F109">
            <v>1259.8900000000001</v>
          </cell>
          <cell r="G109">
            <v>1389.9</v>
          </cell>
        </row>
        <row r="110">
          <cell r="D110" t="str">
            <v>Servente de Limpeza 55 horasUBERABA / MG</v>
          </cell>
          <cell r="F110">
            <v>447.24</v>
          </cell>
          <cell r="G110">
            <v>783.13</v>
          </cell>
        </row>
        <row r="111">
          <cell r="D111" t="str">
            <v>Servente de Limpeza 220 horasUBERLÂNDIA / MG</v>
          </cell>
          <cell r="E111">
            <v>1143.81</v>
          </cell>
          <cell r="F111">
            <v>1259.8900000000001</v>
          </cell>
          <cell r="G111">
            <v>1389.91</v>
          </cell>
        </row>
        <row r="112">
          <cell r="D112" t="str">
            <v>Servente de Limpeza 220 horasVARGINHA / MG</v>
          </cell>
          <cell r="E112">
            <v>1112.78</v>
          </cell>
          <cell r="F112">
            <v>1225.1500000000001</v>
          </cell>
          <cell r="G112">
            <v>1351.02</v>
          </cell>
        </row>
        <row r="113">
          <cell r="D113" t="str">
            <v>Servente de Limpeza 220 horasVESPASIANO / MG</v>
          </cell>
          <cell r="E113">
            <v>1143.81</v>
          </cell>
          <cell r="F113">
            <v>1259.8900000000001</v>
          </cell>
          <cell r="G113">
            <v>1389.9</v>
          </cell>
        </row>
        <row r="114">
          <cell r="D114" t="str">
            <v>Servente de Limpeza 150 horasVIÇOSA / MG</v>
          </cell>
          <cell r="E114">
            <v>942.52</v>
          </cell>
          <cell r="F114">
            <v>1034.46</v>
          </cell>
          <cell r="G114">
            <v>1137.43</v>
          </cell>
        </row>
        <row r="115">
          <cell r="D115" t="str">
            <v>Auxiliar de Manutenção PredialBELO HORIZONTE / MG</v>
          </cell>
          <cell r="E115">
            <v>956.55</v>
          </cell>
          <cell r="F115">
            <v>1071.31</v>
          </cell>
          <cell r="G115">
            <v>1199.8699999999999</v>
          </cell>
        </row>
        <row r="116">
          <cell r="D116" t="str">
            <v>Bombeiro HidráulicoBELO HORIZONTE / MG</v>
          </cell>
          <cell r="E116">
            <v>1774.15</v>
          </cell>
          <cell r="F116">
            <v>1965.25</v>
          </cell>
          <cell r="G116">
            <v>2219.1799999999998</v>
          </cell>
        </row>
        <row r="117">
          <cell r="D117" t="str">
            <v>EletricistaBELO HORIZONTE / MG</v>
          </cell>
          <cell r="E117">
            <v>2070.29</v>
          </cell>
          <cell r="F117">
            <v>2318.7199999999998</v>
          </cell>
          <cell r="G117">
            <v>2596.9699999999998</v>
          </cell>
        </row>
        <row r="118">
          <cell r="D118" t="str">
            <v>Encarregado de LimpezaBELO HORIZONTE / MG</v>
          </cell>
          <cell r="E118">
            <v>1714.5</v>
          </cell>
          <cell r="F118">
            <v>1920.24</v>
          </cell>
          <cell r="G118">
            <v>2150.67</v>
          </cell>
        </row>
        <row r="119">
          <cell r="D119" t="str">
            <v>JardineiroBELO HORIZONTE / MG</v>
          </cell>
          <cell r="E119">
            <v>1588.69</v>
          </cell>
          <cell r="F119">
            <v>1748.51</v>
          </cell>
          <cell r="G119">
            <v>1967.41</v>
          </cell>
        </row>
        <row r="120">
          <cell r="D120" t="str">
            <v>Lavador de VeículosBELO HORIZONTE / MG</v>
          </cell>
          <cell r="E120">
            <v>1138.18</v>
          </cell>
          <cell r="F120">
            <v>1252.93</v>
          </cell>
          <cell r="G120">
            <v>1421.38</v>
          </cell>
        </row>
        <row r="121">
          <cell r="D121" t="str">
            <v>Limpador de vidros (internos)BELO HORIZONTE / MG</v>
          </cell>
          <cell r="E121">
            <v>1047.45</v>
          </cell>
          <cell r="F121">
            <v>1173.1500000000001</v>
          </cell>
          <cell r="G121">
            <v>1313.98</v>
          </cell>
        </row>
        <row r="122">
          <cell r="D122" t="str">
            <v>MarceneiroBELO HORIZONTE / MG</v>
          </cell>
          <cell r="E122">
            <v>1774.15</v>
          </cell>
          <cell r="F122">
            <v>1965.25</v>
          </cell>
          <cell r="G122">
            <v>2219.1799999999998</v>
          </cell>
        </row>
        <row r="123">
          <cell r="D123" t="str">
            <v>PedreiroBELO HORIZONTE / MG</v>
          </cell>
          <cell r="E123">
            <v>1592.53</v>
          </cell>
          <cell r="F123">
            <v>1783.63</v>
          </cell>
          <cell r="G123">
            <v>1997.67</v>
          </cell>
        </row>
        <row r="124">
          <cell r="D124" t="str">
            <v>PintorBELO HORIZONTE / MG</v>
          </cell>
          <cell r="E124">
            <v>1774.15</v>
          </cell>
          <cell r="F124">
            <v>1965.25</v>
          </cell>
          <cell r="G124">
            <v>2219.1799999999998</v>
          </cell>
        </row>
        <row r="125">
          <cell r="D125" t="str">
            <v>Servente de Limpeza 220 horasBELO HORIZONTE / MG</v>
          </cell>
          <cell r="E125">
            <v>1130.92</v>
          </cell>
          <cell r="F125">
            <v>1245.67</v>
          </cell>
          <cell r="G125">
            <v>1374.23</v>
          </cell>
        </row>
        <row r="126">
          <cell r="D126" t="str">
            <v>Servente de Limpeza 110 horasBELO HORIZONTE / MG</v>
          </cell>
          <cell r="E126">
            <v>652.63</v>
          </cell>
          <cell r="F126">
            <v>710.03</v>
          </cell>
          <cell r="G126">
            <v>1156.0899999999999</v>
          </cell>
        </row>
        <row r="127">
          <cell r="D127" t="str">
            <v>Servente de Limpeza 150 horasBELO HORIZONTE / MG</v>
          </cell>
          <cell r="E127">
            <v>957</v>
          </cell>
          <cell r="F127">
            <v>1050.9000000000001</v>
          </cell>
          <cell r="G127">
            <v>774.31</v>
          </cell>
        </row>
        <row r="128">
          <cell r="D128" t="str">
            <v>Servente de Limpeza 55 horasCLÁUDIO / MG</v>
          </cell>
          <cell r="E128">
            <v>410.46</v>
          </cell>
          <cell r="F128">
            <v>438.55</v>
          </cell>
          <cell r="G128">
            <v>470.02</v>
          </cell>
        </row>
        <row r="129">
          <cell r="D129" t="str">
            <v>Servente de Limpeza 55 horasOURO FINO / MG</v>
          </cell>
          <cell r="F129">
            <v>448.78</v>
          </cell>
          <cell r="G129">
            <v>480.99</v>
          </cell>
        </row>
        <row r="130">
          <cell r="D130" t="str">
            <v>Servente de Limpeza 55 horasMONTE AZUL/MG</v>
          </cell>
          <cell r="E130">
            <v>410.46</v>
          </cell>
          <cell r="F130">
            <v>438.55</v>
          </cell>
          <cell r="G130">
            <v>470.02</v>
          </cell>
        </row>
        <row r="131">
          <cell r="D131" t="str">
            <v>Servente de Limpeza 55 horasLUZ / MG</v>
          </cell>
          <cell r="E131">
            <v>410.46</v>
          </cell>
          <cell r="F131">
            <v>438.55</v>
          </cell>
          <cell r="G131">
            <v>470.02</v>
          </cell>
        </row>
        <row r="132">
          <cell r="D132" t="str">
            <v>Servente de Limpeza 55 horasCAPELINHA/MG</v>
          </cell>
          <cell r="E132">
            <v>410.46</v>
          </cell>
          <cell r="F132">
            <v>438.55</v>
          </cell>
          <cell r="G132">
            <v>470.02</v>
          </cell>
        </row>
      </sheetData>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toristas Demonstrativo"/>
      <sheetName val="BD"/>
      <sheetName val="Custo Motorista"/>
      <sheetName val="MIX"/>
      <sheetName val="Relatórios Gerenciais"/>
      <sheetName val="Relatório Iss"/>
    </sheetNames>
    <sheetDataSet>
      <sheetData sheetId="0"/>
      <sheetData sheetId="1"/>
      <sheetData sheetId="2">
        <row r="4">
          <cell r="D4" t="str">
            <v>MOTORISTABELO HORIZONTE/MG</v>
          </cell>
          <cell r="G4">
            <v>3214.54</v>
          </cell>
          <cell r="H4">
            <v>3482.08</v>
          </cell>
          <cell r="K4">
            <v>3482.08</v>
          </cell>
        </row>
        <row r="5">
          <cell r="D5" t="str">
            <v>MOTORISTABARBACENA/MG</v>
          </cell>
          <cell r="G5">
            <v>3269.8</v>
          </cell>
          <cell r="H5">
            <v>3541.94</v>
          </cell>
          <cell r="K5">
            <v>3541.94</v>
          </cell>
        </row>
        <row r="6">
          <cell r="D6" t="str">
            <v>MOTORISTABETIM/MG</v>
          </cell>
          <cell r="G6">
            <v>3232.75</v>
          </cell>
          <cell r="H6">
            <v>3501.81</v>
          </cell>
          <cell r="K6">
            <v>3501.81</v>
          </cell>
        </row>
        <row r="7">
          <cell r="D7" t="str">
            <v>MOTORISTACARATINGA/MG</v>
          </cell>
          <cell r="G7">
            <v>3443.05</v>
          </cell>
          <cell r="H7">
            <v>3521.76</v>
          </cell>
          <cell r="K7">
            <v>3521.76</v>
          </cell>
        </row>
        <row r="8">
          <cell r="D8" t="str">
            <v>MOTORISTACONSELHEIRO LAFAIETE/MG</v>
          </cell>
          <cell r="G8">
            <v>3288.65</v>
          </cell>
          <cell r="H8">
            <v>3562.36</v>
          </cell>
          <cell r="K8">
            <v>3562.36</v>
          </cell>
        </row>
        <row r="9">
          <cell r="D9" t="str">
            <v>MOTORISTACONTAGEM/MG</v>
          </cell>
          <cell r="G9">
            <v>3214.54</v>
          </cell>
          <cell r="H9">
            <v>3482.08</v>
          </cell>
          <cell r="K9">
            <v>3482.08</v>
          </cell>
        </row>
        <row r="10">
          <cell r="D10" t="str">
            <v>MOTORISTADIAMANTINA/MG</v>
          </cell>
          <cell r="G10">
            <v>3327</v>
          </cell>
          <cell r="H10">
            <v>3603.9</v>
          </cell>
          <cell r="K10">
            <v>3603.9</v>
          </cell>
        </row>
        <row r="11">
          <cell r="D11" t="str">
            <v>MOTORISTADIVINOPOLIS/MG</v>
          </cell>
          <cell r="G11">
            <v>3327</v>
          </cell>
          <cell r="H11">
            <v>3603.9</v>
          </cell>
          <cell r="K11">
            <v>3603.9</v>
          </cell>
        </row>
        <row r="12">
          <cell r="D12" t="str">
            <v>MOTORISTAGOVERNADOR VALADARES/MG</v>
          </cell>
          <cell r="G12">
            <v>3327</v>
          </cell>
          <cell r="H12">
            <v>3603.9</v>
          </cell>
          <cell r="K12">
            <v>3603.9</v>
          </cell>
        </row>
        <row r="13">
          <cell r="D13" t="str">
            <v>MOTORISTAITUIUTABA/MG</v>
          </cell>
          <cell r="G13">
            <v>3288.65</v>
          </cell>
          <cell r="H13">
            <v>3562.36</v>
          </cell>
          <cell r="K13">
            <v>3562.36</v>
          </cell>
        </row>
        <row r="14">
          <cell r="D14" t="str">
            <v>MOTORISTAJUIZ DE FORA/MG</v>
          </cell>
          <cell r="G14">
            <v>3416.12</v>
          </cell>
          <cell r="H14">
            <v>3700.43</v>
          </cell>
          <cell r="K14">
            <v>3700.43</v>
          </cell>
        </row>
        <row r="15">
          <cell r="D15" t="str">
            <v>MOTORISTALAVRAS/MG</v>
          </cell>
          <cell r="G15">
            <v>3327</v>
          </cell>
          <cell r="H15">
            <v>3603.9</v>
          </cell>
          <cell r="K15">
            <v>3603.9</v>
          </cell>
        </row>
        <row r="16">
          <cell r="D16" t="str">
            <v>MOTORISTAMONTES CLAROS/MG</v>
          </cell>
          <cell r="G16">
            <v>3251.17</v>
          </cell>
          <cell r="H16">
            <v>3521.76</v>
          </cell>
          <cell r="K16">
            <v>3521.76</v>
          </cell>
        </row>
        <row r="17">
          <cell r="D17" t="str">
            <v>MOTORISTANOVA LIMA/MG</v>
          </cell>
          <cell r="G17">
            <v>3251.17</v>
          </cell>
          <cell r="H17">
            <v>3521.76</v>
          </cell>
          <cell r="K17">
            <v>3521.76</v>
          </cell>
        </row>
        <row r="18">
          <cell r="D18" t="str">
            <v>MOTORISTAPATOS DE MINAS/MG</v>
          </cell>
          <cell r="G18">
            <v>3214.54</v>
          </cell>
          <cell r="H18">
            <v>3482.08</v>
          </cell>
          <cell r="K18">
            <v>3482.08</v>
          </cell>
        </row>
        <row r="19">
          <cell r="D19" t="str">
            <v>MOTORISTAPASSOS/MG</v>
          </cell>
          <cell r="G19">
            <v>3251.17</v>
          </cell>
          <cell r="H19">
            <v>3521.76</v>
          </cell>
          <cell r="K19">
            <v>3521.76</v>
          </cell>
        </row>
        <row r="20">
          <cell r="D20" t="str">
            <v>MOTORISTAPOÇOS DE CALDAS/MG</v>
          </cell>
          <cell r="G20">
            <v>3327</v>
          </cell>
          <cell r="H20">
            <v>3603.9</v>
          </cell>
          <cell r="K20">
            <v>3603.9</v>
          </cell>
        </row>
        <row r="21">
          <cell r="D21" t="str">
            <v>MOTORISTAPOUSO ALEGRE/MG</v>
          </cell>
          <cell r="G21">
            <v>3214.54</v>
          </cell>
          <cell r="H21">
            <v>3482.08</v>
          </cell>
          <cell r="K21">
            <v>3482.08</v>
          </cell>
        </row>
        <row r="22">
          <cell r="D22" t="str">
            <v>MOTORISTARIBEIRÃO DAS NEVES/MG</v>
          </cell>
          <cell r="G22">
            <v>3288.65</v>
          </cell>
          <cell r="H22">
            <v>3562.36</v>
          </cell>
          <cell r="K22">
            <v>3562.36</v>
          </cell>
        </row>
        <row r="23">
          <cell r="D23" t="str">
            <v>MOTORISTASÃO JOÃO DEL REI/MG</v>
          </cell>
          <cell r="G23">
            <v>3214.54</v>
          </cell>
          <cell r="H23">
            <v>3482.08</v>
          </cell>
          <cell r="K23">
            <v>3482.08</v>
          </cell>
        </row>
        <row r="24">
          <cell r="D24" t="str">
            <v>MOTORISTASETE LAGOAS/MG</v>
          </cell>
          <cell r="G24">
            <v>3251.17</v>
          </cell>
          <cell r="H24">
            <v>3521.76</v>
          </cell>
          <cell r="K24">
            <v>3521.76</v>
          </cell>
        </row>
        <row r="25">
          <cell r="D25" t="str">
            <v>MOTORISTATEÓFILO OTONI/MG</v>
          </cell>
          <cell r="G25">
            <v>3214.54</v>
          </cell>
          <cell r="H25">
            <v>3482.08</v>
          </cell>
          <cell r="K25">
            <v>3482.08</v>
          </cell>
        </row>
        <row r="26">
          <cell r="D26" t="str">
            <v>MOTORISTAUBERABA/MG</v>
          </cell>
          <cell r="G26">
            <v>3251.17</v>
          </cell>
          <cell r="H26">
            <v>3521.76</v>
          </cell>
          <cell r="K26">
            <v>3521.76</v>
          </cell>
        </row>
        <row r="27">
          <cell r="D27" t="str">
            <v>MOTORISTAUBÁ/MG</v>
          </cell>
          <cell r="G27">
            <v>3251.17</v>
          </cell>
          <cell r="H27">
            <v>3521.76</v>
          </cell>
          <cell r="K27">
            <v>3521.76</v>
          </cell>
        </row>
        <row r="28">
          <cell r="D28" t="str">
            <v>MOTORISTAUBERLÂNDIA/MG</v>
          </cell>
          <cell r="G28">
            <v>3214.54</v>
          </cell>
          <cell r="H28">
            <v>3482.08</v>
          </cell>
          <cell r="K28">
            <v>3482.08</v>
          </cell>
        </row>
        <row r="29">
          <cell r="D29" t="str">
            <v>MOTORISTAVESPASIANO/MG</v>
          </cell>
          <cell r="G29">
            <v>3251.17</v>
          </cell>
          <cell r="H29">
            <v>3482.08</v>
          </cell>
          <cell r="K29">
            <v>3482.08</v>
          </cell>
        </row>
        <row r="30">
          <cell r="D30" t="str">
            <v>MOTORISTASANTA LUZIA/MG</v>
          </cell>
          <cell r="G30">
            <v>0</v>
          </cell>
          <cell r="H30">
            <v>3482.08</v>
          </cell>
          <cell r="K30">
            <v>3482.08</v>
          </cell>
        </row>
      </sheetData>
      <sheetData sheetId="3"/>
      <sheetData sheetId="4"/>
      <sheetData sheetId="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DITAL"/>
      <sheetName val="Res. Edital"/>
      <sheetName val="EDITAL."/>
      <sheetName val="Res. Edital."/>
      <sheetName val="PARÂMETRO"/>
      <sheetName val="CCT"/>
      <sheetName val="Total"/>
      <sheetName val="Res"/>
      <sheetName val="Res. Cat"/>
      <sheetName val="1.12"/>
      <sheetName val="2.13"/>
      <sheetName val="3.12"/>
      <sheetName val="4.11"/>
      <sheetName val="5.13"/>
      <sheetName val="6"/>
      <sheetName val="6.11"/>
      <sheetName val="6.12"/>
      <sheetName val="7"/>
      <sheetName val="7.11"/>
      <sheetName val="9"/>
      <sheetName val="9.11"/>
      <sheetName val="9.12"/>
      <sheetName val="10"/>
      <sheetName val="10.11"/>
      <sheetName val="11.12"/>
      <sheetName val="12.14"/>
      <sheetName val="13.12"/>
      <sheetName val="14"/>
      <sheetName val="14.11"/>
      <sheetName val="15.11"/>
      <sheetName val="16"/>
      <sheetName val="16.11"/>
      <sheetName val="17"/>
      <sheetName val="17.11"/>
      <sheetName val="18.13"/>
      <sheetName val="19.14"/>
      <sheetName val="20.14"/>
      <sheetName val="21"/>
      <sheetName val="22"/>
      <sheetName val="22.12"/>
      <sheetName val="23.11"/>
      <sheetName val="23.13"/>
      <sheetName val="24.14"/>
      <sheetName val="25"/>
      <sheetName val="25.11"/>
      <sheetName val="25.13"/>
      <sheetName val="26.14"/>
      <sheetName val="27.14"/>
      <sheetName val="28.11"/>
      <sheetName val="29.11"/>
      <sheetName val="30.12"/>
      <sheetName val="31"/>
      <sheetName val="31.11"/>
      <sheetName val="31.12"/>
      <sheetName val="32.14"/>
      <sheetName val="33"/>
      <sheetName val="33.12"/>
      <sheetName val="34.12"/>
      <sheetName val="35.12"/>
      <sheetName val="36.12"/>
      <sheetName val="37.11"/>
      <sheetName val="38"/>
      <sheetName val="38.11"/>
      <sheetName val="39"/>
      <sheetName val="39.11"/>
      <sheetName val="40.11"/>
      <sheetName val="41.13"/>
      <sheetName val="42.11"/>
      <sheetName val="43.11"/>
      <sheetName val="44"/>
      <sheetName val="44.11"/>
      <sheetName val="45.11"/>
      <sheetName val="46.13"/>
      <sheetName val="47"/>
      <sheetName val="47.11"/>
      <sheetName val="47.12"/>
      <sheetName val="48"/>
      <sheetName val="48.12"/>
      <sheetName val="49"/>
      <sheetName val="51.11"/>
      <sheetName val="52.11"/>
      <sheetName val="54"/>
      <sheetName val="54.11"/>
      <sheetName val="55"/>
      <sheetName val="55.11"/>
      <sheetName val="55.13"/>
      <sheetName val="56.11"/>
      <sheetName val="58.14"/>
      <sheetName val="59.14"/>
      <sheetName val="60.14"/>
      <sheetName val="61"/>
      <sheetName val="61.11"/>
      <sheetName val="62"/>
      <sheetName val="62.11"/>
      <sheetName val="62.12"/>
      <sheetName val="63.11"/>
      <sheetName val="64"/>
      <sheetName val="64.11"/>
      <sheetName val="65"/>
      <sheetName val="65.11"/>
      <sheetName val="65.13"/>
      <sheetName val="66.14"/>
      <sheetName val="68.14"/>
      <sheetName val="69"/>
      <sheetName val="69.14 "/>
      <sheetName val="70.12"/>
      <sheetName val="72.12"/>
      <sheetName val="73.14"/>
      <sheetName val="74"/>
      <sheetName val="74.11"/>
      <sheetName val="75.13"/>
      <sheetName val="76.12"/>
      <sheetName val="77"/>
      <sheetName val="77.11"/>
      <sheetName val="77.12"/>
      <sheetName val="78"/>
      <sheetName val="78.11"/>
      <sheetName val="78.12"/>
      <sheetName val="79.13"/>
      <sheetName val="80"/>
      <sheetName val="80.13"/>
      <sheetName val="81"/>
      <sheetName val="81.11"/>
      <sheetName val="81.12 "/>
      <sheetName val="82"/>
      <sheetName val="82.11"/>
      <sheetName val="82.13"/>
      <sheetName val="83"/>
      <sheetName val="83.11"/>
      <sheetName val="84.11"/>
      <sheetName val="85.11"/>
      <sheetName val="86.12"/>
      <sheetName val="87"/>
      <sheetName val="87.1"/>
      <sheetName val="87.2"/>
      <sheetName val="87.3"/>
      <sheetName val="87.4"/>
      <sheetName val="87.5"/>
      <sheetName val="87.6"/>
      <sheetName val="87.7"/>
      <sheetName val="87.8"/>
      <sheetName val="87.9"/>
      <sheetName val="87.10"/>
      <sheetName val="87.11"/>
      <sheetName val="87.12"/>
      <sheetName val="87.13"/>
      <sheetName val="88"/>
      <sheetName val="88.14"/>
      <sheetName val="89.14"/>
      <sheetName val="90.13"/>
      <sheetName val="91.14"/>
      <sheetName val="92.13"/>
      <sheetName val="93.14"/>
      <sheetName val="94.14"/>
      <sheetName val="95.13"/>
      <sheetName val="96.13"/>
      <sheetName val="97.14"/>
      <sheetName val="98.14"/>
      <sheetName val="99.13"/>
      <sheetName val="100.14 "/>
      <sheetName val="101.14 "/>
      <sheetName val="102.14"/>
      <sheetName val="103.14 "/>
      <sheetName val="104.14 "/>
      <sheetName val="105.13"/>
      <sheetName val="106.14 "/>
      <sheetName val="107.14"/>
      <sheetName val="108"/>
      <sheetName val="109"/>
      <sheetName val="110"/>
      <sheetName val="111"/>
      <sheetName val="112"/>
      <sheetName val="Unif"/>
    </sheetNames>
    <sheetDataSet>
      <sheetData sheetId="0"/>
      <sheetData sheetId="1"/>
      <sheetData sheetId="2"/>
      <sheetData sheetId="3"/>
      <sheetData sheetId="4">
        <row r="3">
          <cell r="B3" t="str">
            <v>Fethemg Interior</v>
          </cell>
          <cell r="C3">
            <v>0</v>
          </cell>
          <cell r="D3">
            <v>6.5</v>
          </cell>
          <cell r="E3">
            <v>0</v>
          </cell>
          <cell r="F3">
            <v>0</v>
          </cell>
          <cell r="G3">
            <v>9.8000000000000007</v>
          </cell>
          <cell r="H3">
            <v>0</v>
          </cell>
        </row>
        <row r="4">
          <cell r="B4" t="str">
            <v>Itabira</v>
          </cell>
          <cell r="C4">
            <v>23.3</v>
          </cell>
          <cell r="D4">
            <v>0</v>
          </cell>
          <cell r="E4">
            <v>0</v>
          </cell>
          <cell r="F4">
            <v>0</v>
          </cell>
          <cell r="G4">
            <v>9.8000000000000007</v>
          </cell>
          <cell r="H4">
            <v>0</v>
          </cell>
        </row>
        <row r="5">
          <cell r="B5" t="str">
            <v>Alto Paranaiba</v>
          </cell>
          <cell r="C5">
            <v>10.95</v>
          </cell>
          <cell r="D5">
            <v>0</v>
          </cell>
          <cell r="E5">
            <v>0</v>
          </cell>
          <cell r="F5">
            <v>0</v>
          </cell>
          <cell r="G5">
            <v>153.30000000000001</v>
          </cell>
          <cell r="H5">
            <v>0</v>
          </cell>
        </row>
        <row r="6">
          <cell r="B6" t="str">
            <v>Araxá</v>
          </cell>
          <cell r="C6">
            <v>27.5</v>
          </cell>
          <cell r="D6">
            <v>0</v>
          </cell>
          <cell r="E6">
            <v>0</v>
          </cell>
          <cell r="F6">
            <v>0</v>
          </cell>
          <cell r="G6">
            <v>9.8000000000000007</v>
          </cell>
          <cell r="H6">
            <v>0</v>
          </cell>
        </row>
        <row r="7">
          <cell r="B7" t="str">
            <v>Sind - Asseio</v>
          </cell>
          <cell r="C7">
            <v>0</v>
          </cell>
          <cell r="D7">
            <v>6.5</v>
          </cell>
          <cell r="E7">
            <v>25.5</v>
          </cell>
          <cell r="F7">
            <v>0.06</v>
          </cell>
          <cell r="G7">
            <v>9.8000000000000007</v>
          </cell>
          <cell r="H7">
            <v>0</v>
          </cell>
        </row>
        <row r="8">
          <cell r="B8" t="str">
            <v>Curvelo</v>
          </cell>
          <cell r="C8">
            <v>23.3</v>
          </cell>
          <cell r="D8">
            <v>0</v>
          </cell>
          <cell r="E8">
            <v>0</v>
          </cell>
          <cell r="F8">
            <v>0</v>
          </cell>
          <cell r="G8">
            <v>9.8000000000000007</v>
          </cell>
          <cell r="H8">
            <v>0</v>
          </cell>
        </row>
        <row r="9">
          <cell r="B9" t="str">
            <v>Divinopolis</v>
          </cell>
          <cell r="C9">
            <v>23.3</v>
          </cell>
          <cell r="D9">
            <v>0</v>
          </cell>
          <cell r="E9">
            <v>0</v>
          </cell>
          <cell r="F9">
            <v>0</v>
          </cell>
          <cell r="G9">
            <v>9.8000000000000007</v>
          </cell>
          <cell r="H9">
            <v>0</v>
          </cell>
        </row>
        <row r="10">
          <cell r="B10" t="str">
            <v>Região Uberaba</v>
          </cell>
          <cell r="C10">
            <v>0</v>
          </cell>
          <cell r="D10">
            <v>0</v>
          </cell>
          <cell r="E10">
            <v>0</v>
          </cell>
          <cell r="F10">
            <v>0</v>
          </cell>
          <cell r="G10">
            <v>9.8000000000000007</v>
          </cell>
          <cell r="H10">
            <v>0</v>
          </cell>
        </row>
        <row r="11">
          <cell r="B11" t="str">
            <v>Gov. Valadares</v>
          </cell>
          <cell r="C11">
            <v>0</v>
          </cell>
          <cell r="D11">
            <v>0</v>
          </cell>
          <cell r="E11">
            <v>0</v>
          </cell>
          <cell r="F11">
            <v>0</v>
          </cell>
          <cell r="G11">
            <v>9.8000000000000007</v>
          </cell>
          <cell r="H11">
            <v>0</v>
          </cell>
        </row>
        <row r="12">
          <cell r="B12" t="str">
            <v>SECI</v>
          </cell>
          <cell r="C12">
            <v>0</v>
          </cell>
          <cell r="D12">
            <v>0</v>
          </cell>
          <cell r="E12">
            <v>0</v>
          </cell>
          <cell r="F12">
            <v>0</v>
          </cell>
          <cell r="G12">
            <v>9.8000000000000007</v>
          </cell>
          <cell r="H12">
            <v>0</v>
          </cell>
        </row>
        <row r="13">
          <cell r="B13" t="str">
            <v>São Lourenço</v>
          </cell>
          <cell r="C13">
            <v>19.3</v>
          </cell>
          <cell r="D13">
            <v>0</v>
          </cell>
          <cell r="E13">
            <v>0</v>
          </cell>
          <cell r="F13">
            <v>0</v>
          </cell>
          <cell r="G13">
            <v>9.8000000000000007</v>
          </cell>
          <cell r="H13">
            <v>0</v>
          </cell>
        </row>
        <row r="14">
          <cell r="B14" t="str">
            <v>Região de São Lourenço</v>
          </cell>
          <cell r="C14">
            <v>19.3</v>
          </cell>
          <cell r="D14">
            <v>0</v>
          </cell>
          <cell r="E14">
            <v>0</v>
          </cell>
          <cell r="F14">
            <v>0</v>
          </cell>
          <cell r="G14">
            <v>9.8000000000000007</v>
          </cell>
          <cell r="H14">
            <v>0</v>
          </cell>
        </row>
        <row r="15">
          <cell r="B15" t="str">
            <v>Sethac Norte de Minas</v>
          </cell>
          <cell r="C15">
            <v>0</v>
          </cell>
          <cell r="D15">
            <v>0</v>
          </cell>
          <cell r="E15">
            <v>0</v>
          </cell>
          <cell r="F15">
            <v>0</v>
          </cell>
          <cell r="G15">
            <v>9.8000000000000007</v>
          </cell>
          <cell r="H15">
            <v>0</v>
          </cell>
        </row>
        <row r="16">
          <cell r="B16" t="str">
            <v>Juiz de Fora</v>
          </cell>
          <cell r="C16">
            <v>0</v>
          </cell>
          <cell r="D16">
            <v>7</v>
          </cell>
          <cell r="E16">
            <v>0</v>
          </cell>
          <cell r="F16">
            <v>0</v>
          </cell>
          <cell r="G16">
            <v>8.4</v>
          </cell>
          <cell r="H16">
            <v>0</v>
          </cell>
        </row>
        <row r="17">
          <cell r="B17" t="str">
            <v>Cataguases</v>
          </cell>
          <cell r="C17">
            <v>26.5</v>
          </cell>
          <cell r="D17">
            <v>0</v>
          </cell>
          <cell r="E17">
            <v>0</v>
          </cell>
          <cell r="F17">
            <v>0</v>
          </cell>
          <cell r="G17">
            <v>9.8000000000000007</v>
          </cell>
          <cell r="H17">
            <v>0</v>
          </cell>
        </row>
        <row r="18">
          <cell r="B18" t="str">
            <v>Montes Claros</v>
          </cell>
          <cell r="C18">
            <v>23.3</v>
          </cell>
          <cell r="D18">
            <v>0</v>
          </cell>
          <cell r="E18">
            <v>0</v>
          </cell>
          <cell r="F18">
            <v>0</v>
          </cell>
          <cell r="G18">
            <v>9.8000000000000007</v>
          </cell>
          <cell r="H18">
            <v>0</v>
          </cell>
        </row>
        <row r="19">
          <cell r="B19" t="str">
            <v>Fethemg RM</v>
          </cell>
          <cell r="C19">
            <v>0</v>
          </cell>
          <cell r="D19">
            <v>6.5</v>
          </cell>
          <cell r="E19">
            <v>0</v>
          </cell>
          <cell r="F19">
            <v>0</v>
          </cell>
          <cell r="G19">
            <v>9.8000000000000007</v>
          </cell>
          <cell r="H19">
            <v>0</v>
          </cell>
        </row>
        <row r="20">
          <cell r="B20" t="str">
            <v>Sete Lagoas</v>
          </cell>
          <cell r="C20">
            <v>23.3</v>
          </cell>
          <cell r="D20">
            <v>0</v>
          </cell>
          <cell r="E20">
            <v>0</v>
          </cell>
          <cell r="F20">
            <v>0</v>
          </cell>
          <cell r="G20">
            <v>9.8000000000000007</v>
          </cell>
          <cell r="H20">
            <v>0</v>
          </cell>
        </row>
        <row r="21">
          <cell r="B21" t="str">
            <v>Uberaba</v>
          </cell>
          <cell r="C21">
            <v>23.3</v>
          </cell>
          <cell r="D21">
            <v>0</v>
          </cell>
          <cell r="E21">
            <v>0</v>
          </cell>
          <cell r="F21">
            <v>0</v>
          </cell>
          <cell r="G21">
            <v>9.8000000000000007</v>
          </cell>
          <cell r="H21">
            <v>0</v>
          </cell>
        </row>
        <row r="22">
          <cell r="B22" t="str">
            <v>Uberlândia</v>
          </cell>
          <cell r="C22">
            <v>10.95</v>
          </cell>
          <cell r="D22">
            <v>0</v>
          </cell>
          <cell r="E22">
            <v>0</v>
          </cell>
          <cell r="F22">
            <v>0</v>
          </cell>
          <cell r="G22">
            <v>153.30000000000001</v>
          </cell>
          <cell r="H22">
            <v>0</v>
          </cell>
        </row>
        <row r="23">
          <cell r="B23" t="str">
            <v>Vespasiano</v>
          </cell>
          <cell r="C23">
            <v>0</v>
          </cell>
          <cell r="D23">
            <v>0</v>
          </cell>
          <cell r="E23">
            <v>0</v>
          </cell>
          <cell r="F23">
            <v>0</v>
          </cell>
          <cell r="G23">
            <v>9.8000000000000007</v>
          </cell>
          <cell r="H23">
            <v>0</v>
          </cell>
        </row>
        <row r="24">
          <cell r="B24" t="str">
            <v>Sintell</v>
          </cell>
          <cell r="C24">
            <v>0</v>
          </cell>
          <cell r="D24">
            <v>0</v>
          </cell>
          <cell r="E24">
            <v>0</v>
          </cell>
          <cell r="F24">
            <v>0</v>
          </cell>
          <cell r="G24">
            <v>10.76</v>
          </cell>
          <cell r="H24">
            <v>0</v>
          </cell>
        </row>
        <row r="25">
          <cell r="B25" t="str">
            <v>Seethur</v>
          </cell>
          <cell r="C25">
            <v>23.3</v>
          </cell>
          <cell r="D25">
            <v>0</v>
          </cell>
          <cell r="E25">
            <v>0</v>
          </cell>
          <cell r="F25">
            <v>0</v>
          </cell>
          <cell r="G25">
            <v>9.8000000000000007</v>
          </cell>
          <cell r="H25">
            <v>0</v>
          </cell>
        </row>
        <row r="26">
          <cell r="B26" t="str">
            <v>SEAC</v>
          </cell>
          <cell r="C26">
            <v>27.5</v>
          </cell>
          <cell r="D26">
            <v>6.5</v>
          </cell>
          <cell r="E26">
            <v>0</v>
          </cell>
          <cell r="F26">
            <v>0</v>
          </cell>
          <cell r="G26">
            <v>9.8000000000000007</v>
          </cell>
          <cell r="H26">
            <v>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6"/>
  <dimension ref="A2:M92"/>
  <sheetViews>
    <sheetView showGridLines="0" workbookViewId="0">
      <selection activeCell="B12" sqref="B12:L15"/>
    </sheetView>
  </sheetViews>
  <sheetFormatPr defaultRowHeight="12.75"/>
  <cols>
    <col min="1" max="1" width="26.5703125" customWidth="1"/>
    <col min="3" max="3" width="12" bestFit="1" customWidth="1"/>
    <col min="4" max="4" width="23.140625" customWidth="1"/>
    <col min="5" max="5" width="12" bestFit="1" customWidth="1"/>
    <col min="6" max="6" width="11.28515625" bestFit="1" customWidth="1"/>
    <col min="7" max="7" width="14.28515625" customWidth="1"/>
    <col min="8" max="8" width="20.42578125" customWidth="1"/>
  </cols>
  <sheetData>
    <row r="2" spans="2:12" ht="18">
      <c r="B2" s="632" t="s">
        <v>3408</v>
      </c>
      <c r="C2" s="632"/>
      <c r="D2" s="632"/>
      <c r="E2" s="632"/>
      <c r="F2" s="632"/>
      <c r="G2" s="632"/>
      <c r="H2" s="632"/>
      <c r="I2" s="632"/>
      <c r="J2" s="632"/>
      <c r="K2" s="632"/>
      <c r="L2" s="632"/>
    </row>
    <row r="3" spans="2:12" ht="13.5" thickBot="1"/>
    <row r="4" spans="2:12" ht="13.5" thickBot="1">
      <c r="B4" s="636" t="s">
        <v>4060</v>
      </c>
      <c r="C4" s="636"/>
      <c r="D4" s="636"/>
      <c r="E4" s="636"/>
      <c r="F4" s="636"/>
      <c r="G4" s="636"/>
      <c r="H4" s="636"/>
      <c r="I4" s="636"/>
      <c r="J4" s="636"/>
      <c r="K4" s="636"/>
      <c r="L4" s="636"/>
    </row>
    <row r="5" spans="2:12" ht="13.5" thickBot="1">
      <c r="B5" s="636"/>
      <c r="C5" s="636"/>
      <c r="D5" s="636"/>
      <c r="E5" s="636"/>
      <c r="F5" s="636"/>
      <c r="G5" s="636"/>
      <c r="H5" s="636"/>
      <c r="I5" s="636"/>
      <c r="J5" s="636"/>
      <c r="K5" s="636"/>
      <c r="L5" s="636"/>
    </row>
    <row r="6" spans="2:12" ht="13.5" thickBot="1">
      <c r="B6" s="636"/>
      <c r="C6" s="636"/>
      <c r="D6" s="636"/>
      <c r="E6" s="636"/>
      <c r="F6" s="636"/>
      <c r="G6" s="636"/>
      <c r="H6" s="636"/>
      <c r="I6" s="636"/>
      <c r="J6" s="636"/>
      <c r="K6" s="636"/>
      <c r="L6" s="636"/>
    </row>
    <row r="7" spans="2:12" ht="66.75" customHeight="1" thickBot="1">
      <c r="B7" s="636"/>
      <c r="C7" s="636"/>
      <c r="D7" s="636"/>
      <c r="E7" s="636"/>
      <c r="F7" s="636"/>
      <c r="G7" s="636"/>
      <c r="H7" s="636"/>
      <c r="I7" s="636"/>
      <c r="J7" s="636"/>
      <c r="K7" s="636"/>
      <c r="L7" s="636"/>
    </row>
    <row r="8" spans="2:12" ht="12.75" customHeight="1" thickBot="1">
      <c r="B8" s="637" t="s">
        <v>3405</v>
      </c>
      <c r="C8" s="637"/>
      <c r="D8" s="637"/>
      <c r="E8" s="637"/>
      <c r="F8" s="637"/>
      <c r="G8" s="637"/>
      <c r="H8" s="637"/>
      <c r="I8" s="637"/>
      <c r="J8" s="637"/>
      <c r="K8" s="637"/>
      <c r="L8" s="637"/>
    </row>
    <row r="9" spans="2:12" ht="13.5" thickBot="1">
      <c r="B9" s="637"/>
      <c r="C9" s="637"/>
      <c r="D9" s="637"/>
      <c r="E9" s="637"/>
      <c r="F9" s="637"/>
      <c r="G9" s="637"/>
      <c r="H9" s="637"/>
      <c r="I9" s="637"/>
      <c r="J9" s="637"/>
      <c r="K9" s="637"/>
      <c r="L9" s="637"/>
    </row>
    <row r="10" spans="2:12" ht="13.5" thickBot="1">
      <c r="B10" s="637"/>
      <c r="C10" s="637"/>
      <c r="D10" s="637"/>
      <c r="E10" s="637"/>
      <c r="F10" s="637"/>
      <c r="G10" s="637"/>
      <c r="H10" s="637"/>
      <c r="I10" s="637"/>
      <c r="J10" s="637"/>
      <c r="K10" s="637"/>
      <c r="L10" s="637"/>
    </row>
    <row r="11" spans="2:12" ht="19.5" customHeight="1" thickBot="1">
      <c r="B11" s="637"/>
      <c r="C11" s="637"/>
      <c r="D11" s="637"/>
      <c r="E11" s="637"/>
      <c r="F11" s="637"/>
      <c r="G11" s="637"/>
      <c r="H11" s="637"/>
      <c r="I11" s="637"/>
      <c r="J11" s="637"/>
      <c r="K11" s="637"/>
      <c r="L11" s="637"/>
    </row>
    <row r="12" spans="2:12" ht="12.75" customHeight="1" thickBot="1">
      <c r="B12" s="638" t="s">
        <v>3406</v>
      </c>
      <c r="C12" s="638"/>
      <c r="D12" s="638"/>
      <c r="E12" s="638"/>
      <c r="F12" s="638"/>
      <c r="G12" s="638"/>
      <c r="H12" s="638"/>
      <c r="I12" s="638"/>
      <c r="J12" s="638"/>
      <c r="K12" s="638"/>
      <c r="L12" s="638"/>
    </row>
    <row r="13" spans="2:12" ht="13.5" thickBot="1">
      <c r="B13" s="638"/>
      <c r="C13" s="638"/>
      <c r="D13" s="638"/>
      <c r="E13" s="638"/>
      <c r="F13" s="638"/>
      <c r="G13" s="638"/>
      <c r="H13" s="638"/>
      <c r="I13" s="638"/>
      <c r="J13" s="638"/>
      <c r="K13" s="638"/>
      <c r="L13" s="638"/>
    </row>
    <row r="14" spans="2:12" ht="13.5" thickBot="1">
      <c r="B14" s="638"/>
      <c r="C14" s="638"/>
      <c r="D14" s="638"/>
      <c r="E14" s="638"/>
      <c r="F14" s="638"/>
      <c r="G14" s="638"/>
      <c r="H14" s="638"/>
      <c r="I14" s="638"/>
      <c r="J14" s="638"/>
      <c r="K14" s="638"/>
      <c r="L14" s="638"/>
    </row>
    <row r="15" spans="2:12" ht="22.5" customHeight="1" thickBot="1">
      <c r="B15" s="638"/>
      <c r="C15" s="638"/>
      <c r="D15" s="638"/>
      <c r="E15" s="638"/>
      <c r="F15" s="638"/>
      <c r="G15" s="638"/>
      <c r="H15" s="638"/>
      <c r="I15" s="638"/>
      <c r="J15" s="638"/>
      <c r="K15" s="638"/>
      <c r="L15" s="638"/>
    </row>
    <row r="16" spans="2:12" ht="12.75" customHeight="1" thickBot="1">
      <c r="B16" s="639" t="s">
        <v>3427</v>
      </c>
      <c r="C16" s="639"/>
      <c r="D16" s="639"/>
      <c r="E16" s="639"/>
      <c r="F16" s="639"/>
      <c r="G16" s="639"/>
      <c r="H16" s="639"/>
      <c r="I16" s="639"/>
      <c r="J16" s="639"/>
      <c r="K16" s="639"/>
      <c r="L16" s="639"/>
    </row>
    <row r="17" spans="2:12" ht="13.5" thickBot="1">
      <c r="B17" s="639"/>
      <c r="C17" s="639"/>
      <c r="D17" s="639"/>
      <c r="E17" s="639"/>
      <c r="F17" s="639"/>
      <c r="G17" s="639"/>
      <c r="H17" s="639"/>
      <c r="I17" s="639"/>
      <c r="J17" s="639"/>
      <c r="K17" s="639"/>
      <c r="L17" s="639"/>
    </row>
    <row r="18" spans="2:12" ht="27.75" customHeight="1" thickBot="1">
      <c r="B18" s="639"/>
      <c r="C18" s="639"/>
      <c r="D18" s="639"/>
      <c r="E18" s="639"/>
      <c r="F18" s="639"/>
      <c r="G18" s="639"/>
      <c r="H18" s="639"/>
      <c r="I18" s="639"/>
      <c r="J18" s="639"/>
      <c r="K18" s="639"/>
      <c r="L18" s="639"/>
    </row>
    <row r="19" spans="2:12" ht="12.75" customHeight="1" thickBot="1">
      <c r="B19" s="640" t="s">
        <v>4061</v>
      </c>
      <c r="C19" s="640"/>
      <c r="D19" s="640"/>
      <c r="E19" s="640"/>
      <c r="F19" s="640"/>
      <c r="G19" s="640"/>
      <c r="H19" s="640"/>
      <c r="I19" s="640"/>
      <c r="J19" s="640"/>
      <c r="K19" s="640"/>
      <c r="L19" s="640"/>
    </row>
    <row r="20" spans="2:12" ht="13.5" thickBot="1">
      <c r="B20" s="640"/>
      <c r="C20" s="640"/>
      <c r="D20" s="640"/>
      <c r="E20" s="640"/>
      <c r="F20" s="640"/>
      <c r="G20" s="640"/>
      <c r="H20" s="640"/>
      <c r="I20" s="640"/>
      <c r="J20" s="640"/>
      <c r="K20" s="640"/>
      <c r="L20" s="640"/>
    </row>
    <row r="21" spans="2:12" ht="13.5" thickBot="1">
      <c r="B21" s="640"/>
      <c r="C21" s="640"/>
      <c r="D21" s="640"/>
      <c r="E21" s="640"/>
      <c r="F21" s="640"/>
      <c r="G21" s="640"/>
      <c r="H21" s="640"/>
      <c r="I21" s="640"/>
      <c r="J21" s="640"/>
      <c r="K21" s="640"/>
      <c r="L21" s="640"/>
    </row>
    <row r="22" spans="2:12" ht="75.75" customHeight="1" thickBot="1">
      <c r="B22" s="640"/>
      <c r="C22" s="640"/>
      <c r="D22" s="640"/>
      <c r="E22" s="640"/>
      <c r="F22" s="640"/>
      <c r="G22" s="640"/>
      <c r="H22" s="640"/>
      <c r="I22" s="640"/>
      <c r="J22" s="640"/>
      <c r="K22" s="640"/>
      <c r="L22" s="640"/>
    </row>
    <row r="23" spans="2:12" ht="12.75" customHeight="1" thickBot="1">
      <c r="B23" s="644" t="s">
        <v>4062</v>
      </c>
      <c r="C23" s="644"/>
      <c r="D23" s="644"/>
      <c r="E23" s="644"/>
      <c r="F23" s="644"/>
      <c r="G23" s="644"/>
      <c r="H23" s="644"/>
      <c r="I23" s="644"/>
      <c r="J23" s="644"/>
      <c r="K23" s="644"/>
      <c r="L23" s="644"/>
    </row>
    <row r="24" spans="2:12" ht="13.5" thickBot="1">
      <c r="B24" s="644"/>
      <c r="C24" s="644"/>
      <c r="D24" s="644"/>
      <c r="E24" s="644"/>
      <c r="F24" s="644"/>
      <c r="G24" s="644"/>
      <c r="H24" s="644"/>
      <c r="I24" s="644"/>
      <c r="J24" s="644"/>
      <c r="K24" s="644"/>
      <c r="L24" s="644"/>
    </row>
    <row r="25" spans="2:12" ht="13.5" thickBot="1">
      <c r="B25" s="644"/>
      <c r="C25" s="644"/>
      <c r="D25" s="644"/>
      <c r="E25" s="644"/>
      <c r="F25" s="644"/>
      <c r="G25" s="644"/>
      <c r="H25" s="644"/>
      <c r="I25" s="644"/>
      <c r="J25" s="644"/>
      <c r="K25" s="644"/>
      <c r="L25" s="644"/>
    </row>
    <row r="26" spans="2:12" ht="15.75" customHeight="1" thickBot="1">
      <c r="B26" s="644"/>
      <c r="C26" s="644"/>
      <c r="D26" s="644"/>
      <c r="E26" s="644"/>
      <c r="F26" s="644"/>
      <c r="G26" s="644"/>
      <c r="H26" s="644"/>
      <c r="I26" s="644"/>
      <c r="J26" s="644"/>
      <c r="K26" s="644"/>
      <c r="L26" s="644"/>
    </row>
    <row r="27" spans="2:12" ht="12.75" customHeight="1" thickBot="1">
      <c r="B27" s="645" t="s">
        <v>3407</v>
      </c>
      <c r="C27" s="645"/>
      <c r="D27" s="645"/>
      <c r="E27" s="645"/>
      <c r="F27" s="645"/>
      <c r="G27" s="645"/>
      <c r="H27" s="645"/>
      <c r="I27" s="645"/>
      <c r="J27" s="645"/>
      <c r="K27" s="645"/>
      <c r="L27" s="645"/>
    </row>
    <row r="28" spans="2:12" ht="13.5" thickBot="1">
      <c r="B28" s="645"/>
      <c r="C28" s="645"/>
      <c r="D28" s="645"/>
      <c r="E28" s="645"/>
      <c r="F28" s="645"/>
      <c r="G28" s="645"/>
      <c r="H28" s="645"/>
      <c r="I28" s="645"/>
      <c r="J28" s="645"/>
      <c r="K28" s="645"/>
      <c r="L28" s="645"/>
    </row>
    <row r="29" spans="2:12" ht="13.5" thickBot="1">
      <c r="B29" s="645"/>
      <c r="C29" s="645"/>
      <c r="D29" s="645"/>
      <c r="E29" s="645"/>
      <c r="F29" s="645"/>
      <c r="G29" s="645"/>
      <c r="H29" s="645"/>
      <c r="I29" s="645"/>
      <c r="J29" s="645"/>
      <c r="K29" s="645"/>
      <c r="L29" s="645"/>
    </row>
    <row r="30" spans="2:12" ht="13.5" thickBot="1">
      <c r="B30" s="645"/>
      <c r="C30" s="645"/>
      <c r="D30" s="645"/>
      <c r="E30" s="645"/>
      <c r="F30" s="645"/>
      <c r="G30" s="645"/>
      <c r="H30" s="645"/>
      <c r="I30" s="645"/>
      <c r="J30" s="645"/>
      <c r="K30" s="645"/>
      <c r="L30" s="645"/>
    </row>
    <row r="31" spans="2:12" ht="12.75" customHeight="1" thickBot="1">
      <c r="B31" s="633" t="s">
        <v>3428</v>
      </c>
      <c r="C31" s="633"/>
      <c r="D31" s="633"/>
      <c r="E31" s="633"/>
      <c r="F31" s="633"/>
      <c r="G31" s="633"/>
      <c r="H31" s="633"/>
      <c r="I31" s="633"/>
      <c r="J31" s="633"/>
      <c r="K31" s="633"/>
      <c r="L31" s="633"/>
    </row>
    <row r="32" spans="2:12" ht="13.5" thickBot="1">
      <c r="B32" s="633"/>
      <c r="C32" s="633"/>
      <c r="D32" s="633"/>
      <c r="E32" s="633"/>
      <c r="F32" s="633"/>
      <c r="G32" s="633"/>
      <c r="H32" s="633"/>
      <c r="I32" s="633"/>
      <c r="J32" s="633"/>
      <c r="K32" s="633"/>
      <c r="L32" s="633"/>
    </row>
    <row r="33" spans="2:12" ht="13.5" thickBot="1">
      <c r="B33" s="633"/>
      <c r="C33" s="633"/>
      <c r="D33" s="633"/>
      <c r="E33" s="633"/>
      <c r="F33" s="633"/>
      <c r="G33" s="633"/>
      <c r="H33" s="633"/>
      <c r="I33" s="633"/>
      <c r="J33" s="633"/>
      <c r="K33" s="633"/>
      <c r="L33" s="633"/>
    </row>
    <row r="34" spans="2:12" ht="13.5" thickBot="1">
      <c r="B34" s="633"/>
      <c r="C34" s="633"/>
      <c r="D34" s="633"/>
      <c r="E34" s="633"/>
      <c r="F34" s="633"/>
      <c r="G34" s="633"/>
      <c r="H34" s="633"/>
      <c r="I34" s="633"/>
      <c r="J34" s="633"/>
      <c r="K34" s="633"/>
      <c r="L34" s="633"/>
    </row>
    <row r="35" spans="2:12" ht="12.75" customHeight="1" thickBot="1">
      <c r="B35" s="634" t="s">
        <v>3429</v>
      </c>
      <c r="C35" s="634"/>
      <c r="D35" s="634"/>
      <c r="E35" s="634"/>
      <c r="F35" s="634"/>
      <c r="G35" s="634"/>
      <c r="H35" s="634"/>
      <c r="I35" s="634"/>
      <c r="J35" s="634"/>
      <c r="K35" s="634"/>
      <c r="L35" s="634"/>
    </row>
    <row r="36" spans="2:12" ht="13.5" thickBot="1">
      <c r="B36" s="634"/>
      <c r="C36" s="634"/>
      <c r="D36" s="634"/>
      <c r="E36" s="634"/>
      <c r="F36" s="634"/>
      <c r="G36" s="634"/>
      <c r="H36" s="634"/>
      <c r="I36" s="634"/>
      <c r="J36" s="634"/>
      <c r="K36" s="634"/>
      <c r="L36" s="634"/>
    </row>
    <row r="37" spans="2:12" ht="13.5" thickBot="1">
      <c r="B37" s="634"/>
      <c r="C37" s="634"/>
      <c r="D37" s="634"/>
      <c r="E37" s="634"/>
      <c r="F37" s="634"/>
      <c r="G37" s="634"/>
      <c r="H37" s="634"/>
      <c r="I37" s="634"/>
      <c r="J37" s="634"/>
      <c r="K37" s="634"/>
      <c r="L37" s="634"/>
    </row>
    <row r="38" spans="2:12" ht="13.5" thickBot="1">
      <c r="B38" s="634"/>
      <c r="C38" s="634"/>
      <c r="D38" s="634"/>
      <c r="E38" s="634"/>
      <c r="F38" s="634"/>
      <c r="G38" s="634"/>
      <c r="H38" s="634"/>
      <c r="I38" s="634"/>
      <c r="J38" s="634"/>
      <c r="K38" s="634"/>
      <c r="L38" s="634"/>
    </row>
    <row r="39" spans="2:12" ht="12.75" customHeight="1" thickBot="1">
      <c r="B39" s="635" t="s">
        <v>3409</v>
      </c>
      <c r="C39" s="635"/>
      <c r="D39" s="635"/>
      <c r="E39" s="635"/>
      <c r="F39" s="635"/>
      <c r="G39" s="635"/>
      <c r="H39" s="635"/>
      <c r="I39" s="635"/>
      <c r="J39" s="635"/>
      <c r="K39" s="635"/>
      <c r="L39" s="635"/>
    </row>
    <row r="40" spans="2:12" ht="13.5" thickBot="1">
      <c r="B40" s="635"/>
      <c r="C40" s="635"/>
      <c r="D40" s="635"/>
      <c r="E40" s="635"/>
      <c r="F40" s="635"/>
      <c r="G40" s="635"/>
      <c r="H40" s="635"/>
      <c r="I40" s="635"/>
      <c r="J40" s="635"/>
      <c r="K40" s="635"/>
      <c r="L40" s="635"/>
    </row>
    <row r="41" spans="2:12" ht="13.5" thickBot="1">
      <c r="B41" s="635"/>
      <c r="C41" s="635"/>
      <c r="D41" s="635"/>
      <c r="E41" s="635"/>
      <c r="F41" s="635"/>
      <c r="G41" s="635"/>
      <c r="H41" s="635"/>
      <c r="I41" s="635"/>
      <c r="J41" s="635"/>
      <c r="K41" s="635"/>
      <c r="L41" s="635"/>
    </row>
    <row r="42" spans="2:12" ht="13.5" thickBot="1">
      <c r="B42" s="635"/>
      <c r="C42" s="635"/>
      <c r="D42" s="635"/>
      <c r="E42" s="635"/>
      <c r="F42" s="635"/>
      <c r="G42" s="635"/>
      <c r="H42" s="635"/>
      <c r="I42" s="635"/>
      <c r="J42" s="635"/>
      <c r="K42" s="635"/>
      <c r="L42" s="635"/>
    </row>
    <row r="43" spans="2:12">
      <c r="B43" s="649" t="s">
        <v>3411</v>
      </c>
      <c r="C43" s="650"/>
      <c r="D43" s="650"/>
      <c r="E43" s="650"/>
      <c r="F43" s="650"/>
      <c r="G43" s="650"/>
      <c r="H43" s="650"/>
      <c r="I43" s="650"/>
      <c r="J43" s="650"/>
      <c r="K43" s="650"/>
      <c r="L43" s="651"/>
    </row>
    <row r="44" spans="2:12">
      <c r="B44" s="652"/>
      <c r="C44" s="653"/>
      <c r="D44" s="653"/>
      <c r="E44" s="653"/>
      <c r="F44" s="653"/>
      <c r="G44" s="653"/>
      <c r="H44" s="653"/>
      <c r="I44" s="653"/>
      <c r="J44" s="653"/>
      <c r="K44" s="653"/>
      <c r="L44" s="654"/>
    </row>
    <row r="45" spans="2:12">
      <c r="B45" s="652"/>
      <c r="C45" s="653"/>
      <c r="D45" s="653"/>
      <c r="E45" s="653"/>
      <c r="F45" s="653"/>
      <c r="G45" s="653"/>
      <c r="H45" s="653"/>
      <c r="I45" s="653"/>
      <c r="J45" s="653"/>
      <c r="K45" s="653"/>
      <c r="L45" s="654"/>
    </row>
    <row r="46" spans="2:12" ht="13.5" thickBot="1">
      <c r="B46" s="655"/>
      <c r="C46" s="656"/>
      <c r="D46" s="656"/>
      <c r="E46" s="656"/>
      <c r="F46" s="656"/>
      <c r="G46" s="656"/>
      <c r="H46" s="656"/>
      <c r="I46" s="656"/>
      <c r="J46" s="656"/>
      <c r="K46" s="656"/>
      <c r="L46" s="657"/>
    </row>
    <row r="50" spans="1:7" ht="15">
      <c r="A50" s="641" t="s">
        <v>3744</v>
      </c>
      <c r="B50" s="642"/>
      <c r="C50" s="642"/>
      <c r="D50" s="642"/>
      <c r="E50" s="642"/>
      <c r="F50" s="642"/>
      <c r="G50" s="643"/>
    </row>
    <row r="51" spans="1:7" ht="15">
      <c r="A51" s="646" t="s">
        <v>3745</v>
      </c>
      <c r="B51" s="405" t="s">
        <v>3746</v>
      </c>
      <c r="C51" s="646" t="s">
        <v>3747</v>
      </c>
      <c r="D51" s="646" t="s">
        <v>3748</v>
      </c>
      <c r="E51" s="648" t="s">
        <v>3749</v>
      </c>
      <c r="F51" s="648"/>
      <c r="G51" s="646" t="s">
        <v>3750</v>
      </c>
    </row>
    <row r="52" spans="1:7" ht="45">
      <c r="A52" s="647"/>
      <c r="B52" s="405" t="s">
        <v>3751</v>
      </c>
      <c r="C52" s="647"/>
      <c r="D52" s="647"/>
      <c r="E52" s="405" t="s">
        <v>3747</v>
      </c>
      <c r="F52" s="405" t="s">
        <v>3748</v>
      </c>
      <c r="G52" s="647"/>
    </row>
    <row r="53" spans="1:7" ht="15">
      <c r="A53" s="406" t="s">
        <v>3625</v>
      </c>
      <c r="B53" s="407" t="s">
        <v>3521</v>
      </c>
      <c r="C53" s="408" t="s">
        <v>3754</v>
      </c>
      <c r="D53" s="408" t="s">
        <v>3752</v>
      </c>
      <c r="E53" s="408" t="s">
        <v>3754</v>
      </c>
      <c r="F53" s="408" t="s">
        <v>3752</v>
      </c>
      <c r="G53" s="408" t="s">
        <v>3752</v>
      </c>
    </row>
    <row r="54" spans="1:7" ht="15">
      <c r="A54" s="406" t="s">
        <v>3753</v>
      </c>
      <c r="B54" s="407" t="s">
        <v>3522</v>
      </c>
      <c r="C54" s="408" t="s">
        <v>3754</v>
      </c>
      <c r="D54" s="408" t="s">
        <v>3754</v>
      </c>
      <c r="E54" s="408" t="s">
        <v>3754</v>
      </c>
      <c r="F54" s="408" t="s">
        <v>3754</v>
      </c>
      <c r="G54" s="408" t="s">
        <v>3754</v>
      </c>
    </row>
    <row r="55" spans="1:7" ht="15">
      <c r="A55" s="406" t="s">
        <v>3755</v>
      </c>
      <c r="B55" s="407" t="s">
        <v>3521</v>
      </c>
      <c r="C55" s="408" t="s">
        <v>3752</v>
      </c>
      <c r="D55" s="408" t="s">
        <v>3752</v>
      </c>
      <c r="E55" s="408" t="s">
        <v>3752</v>
      </c>
      <c r="F55" s="408" t="s">
        <v>3752</v>
      </c>
      <c r="G55" s="408" t="s">
        <v>3752</v>
      </c>
    </row>
    <row r="56" spans="1:7" ht="15">
      <c r="A56" s="406" t="s">
        <v>3657</v>
      </c>
      <c r="B56" s="407" t="s">
        <v>3521</v>
      </c>
      <c r="C56" s="408" t="s">
        <v>3752</v>
      </c>
      <c r="D56" s="408" t="s">
        <v>3752</v>
      </c>
      <c r="E56" s="408" t="s">
        <v>3752</v>
      </c>
      <c r="F56" s="408" t="s">
        <v>3752</v>
      </c>
      <c r="G56" s="408" t="s">
        <v>3752</v>
      </c>
    </row>
    <row r="57" spans="1:7" ht="60">
      <c r="A57" s="409" t="s">
        <v>112</v>
      </c>
      <c r="B57" s="410" t="s">
        <v>3521</v>
      </c>
      <c r="C57" s="411" t="s">
        <v>3756</v>
      </c>
      <c r="D57" s="411" t="s">
        <v>3756</v>
      </c>
      <c r="E57" s="411" t="s">
        <v>3756</v>
      </c>
      <c r="F57" s="411" t="s">
        <v>3756</v>
      </c>
      <c r="G57" s="411" t="s">
        <v>3757</v>
      </c>
    </row>
    <row r="58" spans="1:7" ht="15">
      <c r="A58" s="412"/>
      <c r="B58" s="413"/>
      <c r="C58" s="414"/>
      <c r="D58" s="414"/>
      <c r="E58" s="414"/>
      <c r="F58" s="414"/>
      <c r="G58" s="414"/>
    </row>
    <row r="59" spans="1:7" ht="15">
      <c r="A59" s="641" t="s">
        <v>3744</v>
      </c>
      <c r="B59" s="642"/>
      <c r="C59" s="642"/>
      <c r="D59" s="642"/>
      <c r="E59" s="642"/>
      <c r="F59" s="642"/>
      <c r="G59" s="643"/>
    </row>
    <row r="60" spans="1:7" ht="15">
      <c r="A60" s="646" t="s">
        <v>3745</v>
      </c>
      <c r="B60" s="405" t="s">
        <v>3746</v>
      </c>
      <c r="C60" s="646" t="s">
        <v>3747</v>
      </c>
      <c r="D60" s="646" t="s">
        <v>3748</v>
      </c>
      <c r="E60" s="648" t="s">
        <v>3749</v>
      </c>
      <c r="F60" s="648"/>
      <c r="G60" s="646" t="s">
        <v>3750</v>
      </c>
    </row>
    <row r="61" spans="1:7" ht="45">
      <c r="A61" s="647"/>
      <c r="B61" s="405" t="s">
        <v>3527</v>
      </c>
      <c r="C61" s="647"/>
      <c r="D61" s="647"/>
      <c r="E61" s="405" t="s">
        <v>3747</v>
      </c>
      <c r="F61" s="405" t="s">
        <v>3748</v>
      </c>
      <c r="G61" s="647"/>
    </row>
    <row r="62" spans="1:7" ht="15">
      <c r="A62" s="406" t="s">
        <v>3625</v>
      </c>
      <c r="B62" s="407" t="s">
        <v>3527</v>
      </c>
      <c r="C62" s="408" t="s">
        <v>3754</v>
      </c>
      <c r="D62" s="408" t="s">
        <v>3754</v>
      </c>
      <c r="E62" s="408" t="s">
        <v>3754</v>
      </c>
      <c r="F62" s="408" t="s">
        <v>3754</v>
      </c>
      <c r="G62" s="408" t="s">
        <v>3754</v>
      </c>
    </row>
    <row r="63" spans="1:7" ht="15">
      <c r="A63" s="406" t="s">
        <v>3753</v>
      </c>
      <c r="B63" s="407" t="s">
        <v>3521</v>
      </c>
      <c r="C63" s="408" t="s">
        <v>3752</v>
      </c>
      <c r="D63" s="408" t="s">
        <v>3752</v>
      </c>
      <c r="E63" s="408" t="s">
        <v>3752</v>
      </c>
      <c r="F63" s="408" t="s">
        <v>3752</v>
      </c>
      <c r="G63" s="408" t="s">
        <v>3752</v>
      </c>
    </row>
    <row r="64" spans="1:7" ht="15">
      <c r="A64" s="406" t="s">
        <v>3755</v>
      </c>
      <c r="B64" s="407" t="s">
        <v>3527</v>
      </c>
      <c r="C64" s="408" t="s">
        <v>3754</v>
      </c>
      <c r="D64" s="408" t="s">
        <v>3754</v>
      </c>
      <c r="E64" s="408" t="s">
        <v>3754</v>
      </c>
      <c r="F64" s="408" t="s">
        <v>3754</v>
      </c>
      <c r="G64" s="408" t="s">
        <v>3754</v>
      </c>
    </row>
    <row r="65" spans="1:13" ht="15">
      <c r="A65" s="406" t="s">
        <v>3657</v>
      </c>
      <c r="B65" s="407" t="s">
        <v>3527</v>
      </c>
      <c r="C65" s="408" t="s">
        <v>3754</v>
      </c>
      <c r="D65" s="408" t="s">
        <v>3754</v>
      </c>
      <c r="E65" s="408" t="s">
        <v>3754</v>
      </c>
      <c r="F65" s="408" t="s">
        <v>3754</v>
      </c>
      <c r="G65" s="408" t="s">
        <v>3754</v>
      </c>
    </row>
    <row r="66" spans="1:13" ht="60">
      <c r="A66" s="409" t="s">
        <v>112</v>
      </c>
      <c r="B66" s="410" t="s">
        <v>3521</v>
      </c>
      <c r="C66" s="411" t="s">
        <v>3756</v>
      </c>
      <c r="D66" s="411" t="s">
        <v>3756</v>
      </c>
      <c r="E66" s="411" t="s">
        <v>3756</v>
      </c>
      <c r="F66" s="411" t="s">
        <v>3756</v>
      </c>
      <c r="G66" s="411" t="s">
        <v>3757</v>
      </c>
    </row>
    <row r="68" spans="1:13" ht="13.5" thickBot="1"/>
    <row r="69" spans="1:13" ht="33.75" customHeight="1" thickBot="1">
      <c r="A69" s="612" t="s">
        <v>3758</v>
      </c>
      <c r="B69" s="613"/>
      <c r="C69" s="613"/>
      <c r="D69" s="613"/>
      <c r="E69" s="613"/>
      <c r="F69" s="613"/>
      <c r="G69" s="613"/>
      <c r="H69" s="613"/>
      <c r="I69" s="613"/>
      <c r="J69" s="613"/>
      <c r="K69" s="613"/>
      <c r="L69" s="613"/>
      <c r="M69" s="614"/>
    </row>
    <row r="70" spans="1:13" ht="31.5" customHeight="1" thickBot="1">
      <c r="A70" s="615" t="s">
        <v>3759</v>
      </c>
      <c r="B70" s="615"/>
      <c r="C70" s="615"/>
      <c r="D70" s="615"/>
      <c r="E70" s="615"/>
      <c r="F70" s="615"/>
      <c r="G70" s="615"/>
      <c r="H70" s="615"/>
      <c r="I70" s="615"/>
      <c r="J70" s="615"/>
      <c r="K70" s="615"/>
      <c r="L70" s="615"/>
      <c r="M70" s="615"/>
    </row>
    <row r="71" spans="1:13" ht="30.75" customHeight="1" thickBot="1">
      <c r="A71" s="616" t="s">
        <v>3760</v>
      </c>
      <c r="B71" s="616"/>
      <c r="C71" s="616"/>
      <c r="D71" s="616"/>
      <c r="E71" s="616"/>
      <c r="F71" s="616"/>
      <c r="G71" s="616"/>
      <c r="H71" s="616"/>
      <c r="I71" s="616"/>
      <c r="J71" s="616"/>
      <c r="K71" s="616"/>
      <c r="L71" s="616"/>
      <c r="M71" s="616"/>
    </row>
    <row r="72" spans="1:13" ht="41.25" customHeight="1" thickBot="1">
      <c r="A72" s="617" t="s">
        <v>4055</v>
      </c>
      <c r="B72" s="617"/>
      <c r="C72" s="617"/>
      <c r="D72" s="617"/>
      <c r="E72" s="617"/>
      <c r="F72" s="617"/>
      <c r="G72" s="617"/>
      <c r="H72" s="617"/>
      <c r="I72" s="617"/>
      <c r="J72" s="617"/>
      <c r="K72" s="617"/>
      <c r="L72" s="617"/>
      <c r="M72" s="617"/>
    </row>
    <row r="73" spans="1:13" ht="45.75" customHeight="1" thickBot="1">
      <c r="A73" s="618" t="s">
        <v>4056</v>
      </c>
      <c r="B73" s="618"/>
      <c r="C73" s="618"/>
      <c r="D73" s="618"/>
      <c r="E73" s="618"/>
      <c r="F73" s="618"/>
      <c r="G73" s="618"/>
      <c r="H73" s="618"/>
      <c r="I73" s="618"/>
      <c r="J73" s="618"/>
      <c r="K73" s="618"/>
      <c r="L73" s="618"/>
      <c r="M73" s="618"/>
    </row>
    <row r="74" spans="1:13" ht="31.5" customHeight="1" thickBot="1">
      <c r="A74" s="619" t="s">
        <v>3761</v>
      </c>
      <c r="B74" s="619"/>
      <c r="C74" s="619"/>
      <c r="D74" s="619"/>
      <c r="E74" s="619"/>
      <c r="F74" s="619"/>
      <c r="G74" s="619"/>
      <c r="H74" s="619"/>
      <c r="I74" s="619"/>
      <c r="J74" s="619"/>
      <c r="K74" s="619"/>
      <c r="L74" s="619"/>
      <c r="M74" s="619"/>
    </row>
    <row r="75" spans="1:13" ht="28.5" customHeight="1" thickBot="1">
      <c r="A75" s="609" t="s">
        <v>3762</v>
      </c>
      <c r="B75" s="609"/>
      <c r="C75" s="609"/>
      <c r="D75" s="609"/>
      <c r="E75" s="609"/>
      <c r="F75" s="609"/>
      <c r="G75" s="609"/>
      <c r="H75" s="609"/>
      <c r="I75" s="609"/>
      <c r="J75" s="609"/>
      <c r="K75" s="609"/>
      <c r="L75" s="609"/>
      <c r="M75" s="609"/>
    </row>
    <row r="76" spans="1:13" ht="36" customHeight="1" thickBot="1">
      <c r="A76" s="610" t="s">
        <v>3763</v>
      </c>
      <c r="B76" s="610"/>
      <c r="C76" s="610"/>
      <c r="D76" s="610"/>
      <c r="E76" s="610"/>
      <c r="F76" s="610"/>
      <c r="G76" s="610"/>
      <c r="H76" s="610"/>
      <c r="I76" s="610"/>
      <c r="J76" s="610"/>
      <c r="K76" s="610"/>
      <c r="L76" s="610"/>
      <c r="M76" s="610"/>
    </row>
    <row r="77" spans="1:13">
      <c r="A77" s="423"/>
    </row>
    <row r="78" spans="1:13" ht="13.5" thickBot="1"/>
    <row r="79" spans="1:13" ht="15.75" thickBot="1">
      <c r="A79" s="622" t="s">
        <v>3772</v>
      </c>
      <c r="B79" s="625" t="s">
        <v>3773</v>
      </c>
      <c r="C79" s="626"/>
      <c r="D79" s="626"/>
      <c r="E79" s="626"/>
      <c r="F79" s="625" t="s">
        <v>3774</v>
      </c>
      <c r="G79" s="626"/>
      <c r="H79" s="626"/>
      <c r="I79" s="627"/>
    </row>
    <row r="80" spans="1:13" ht="15.75" thickBot="1">
      <c r="A80" s="623"/>
      <c r="B80" s="628" t="s">
        <v>3570</v>
      </c>
      <c r="C80" s="629"/>
      <c r="D80" s="630" t="s">
        <v>3775</v>
      </c>
      <c r="E80" s="631"/>
      <c r="F80" s="628" t="s">
        <v>3570</v>
      </c>
      <c r="G80" s="629"/>
      <c r="H80" s="660" t="s">
        <v>3775</v>
      </c>
      <c r="I80" s="661"/>
    </row>
    <row r="81" spans="1:13" ht="15.75" thickBot="1">
      <c r="A81" s="624"/>
      <c r="B81" s="415" t="s">
        <v>3776</v>
      </c>
      <c r="C81" s="416" t="s">
        <v>3777</v>
      </c>
      <c r="D81" s="417" t="s">
        <v>3776</v>
      </c>
      <c r="E81" s="418" t="s">
        <v>3777</v>
      </c>
      <c r="F81" s="415" t="s">
        <v>3776</v>
      </c>
      <c r="G81" s="416" t="s">
        <v>3777</v>
      </c>
      <c r="H81" s="419" t="s">
        <v>3776</v>
      </c>
      <c r="I81" s="420" t="s">
        <v>3777</v>
      </c>
    </row>
    <row r="82" spans="1:13">
      <c r="A82" s="622" t="s">
        <v>3778</v>
      </c>
      <c r="B82" s="658" t="s">
        <v>3521</v>
      </c>
      <c r="C82" s="658" t="s">
        <v>3527</v>
      </c>
      <c r="D82" s="662" t="s">
        <v>3625</v>
      </c>
      <c r="E82" s="662" t="s">
        <v>3779</v>
      </c>
      <c r="F82" s="658" t="s">
        <v>3521</v>
      </c>
      <c r="G82" s="658" t="s">
        <v>3780</v>
      </c>
      <c r="H82" s="620" t="s">
        <v>3625</v>
      </c>
      <c r="I82" s="620" t="s">
        <v>3780</v>
      </c>
    </row>
    <row r="83" spans="1:13" ht="13.5" thickBot="1">
      <c r="A83" s="624"/>
      <c r="B83" s="659"/>
      <c r="C83" s="659"/>
      <c r="D83" s="663"/>
      <c r="E83" s="663"/>
      <c r="F83" s="659"/>
      <c r="G83" s="659"/>
      <c r="H83" s="621"/>
      <c r="I83" s="621"/>
    </row>
    <row r="84" spans="1:13">
      <c r="A84" s="622" t="s">
        <v>3781</v>
      </c>
      <c r="B84" s="658" t="s">
        <v>3782</v>
      </c>
      <c r="C84" s="658" t="s">
        <v>3521</v>
      </c>
      <c r="D84" s="662" t="s">
        <v>3532</v>
      </c>
      <c r="E84" s="662" t="s">
        <v>3779</v>
      </c>
      <c r="F84" s="658" t="s">
        <v>3783</v>
      </c>
      <c r="G84" s="658" t="s">
        <v>3780</v>
      </c>
      <c r="H84" s="662" t="s">
        <v>3532</v>
      </c>
      <c r="I84" s="620" t="s">
        <v>3780</v>
      </c>
    </row>
    <row r="85" spans="1:13" ht="13.5" thickBot="1">
      <c r="A85" s="624"/>
      <c r="B85" s="659"/>
      <c r="C85" s="659"/>
      <c r="D85" s="663"/>
      <c r="E85" s="663"/>
      <c r="F85" s="659"/>
      <c r="G85" s="659"/>
      <c r="H85" s="663"/>
      <c r="I85" s="621"/>
    </row>
    <row r="86" spans="1:13">
      <c r="A86" s="622" t="s">
        <v>3739</v>
      </c>
      <c r="B86" s="658" t="s">
        <v>3521</v>
      </c>
      <c r="C86" s="658" t="s">
        <v>3521</v>
      </c>
      <c r="D86" s="662" t="s">
        <v>112</v>
      </c>
      <c r="E86" s="664" t="s">
        <v>3779</v>
      </c>
      <c r="F86" s="658" t="s">
        <v>3521</v>
      </c>
      <c r="G86" s="658" t="s">
        <v>3780</v>
      </c>
      <c r="H86" s="620" t="s">
        <v>112</v>
      </c>
      <c r="I86" s="620" t="s">
        <v>3780</v>
      </c>
    </row>
    <row r="87" spans="1:13" ht="13.5" thickBot="1">
      <c r="A87" s="624"/>
      <c r="B87" s="659"/>
      <c r="C87" s="659"/>
      <c r="D87" s="663"/>
      <c r="E87" s="665"/>
      <c r="F87" s="659"/>
      <c r="G87" s="659"/>
      <c r="H87" s="621"/>
      <c r="I87" s="621"/>
    </row>
    <row r="88" spans="1:13">
      <c r="A88" s="622" t="s">
        <v>3569</v>
      </c>
      <c r="B88" s="658" t="s">
        <v>3521</v>
      </c>
      <c r="C88" s="658" t="s">
        <v>3527</v>
      </c>
      <c r="D88" s="666" t="s">
        <v>3657</v>
      </c>
      <c r="E88" s="662" t="s">
        <v>3779</v>
      </c>
      <c r="F88" s="658" t="s">
        <v>3521</v>
      </c>
      <c r="G88" s="658" t="s">
        <v>3780</v>
      </c>
      <c r="H88" s="620" t="s">
        <v>3657</v>
      </c>
      <c r="I88" s="620" t="s">
        <v>3780</v>
      </c>
    </row>
    <row r="89" spans="1:13" ht="13.5" thickBot="1">
      <c r="A89" s="624"/>
      <c r="B89" s="659"/>
      <c r="C89" s="659"/>
      <c r="D89" s="663"/>
      <c r="E89" s="663"/>
      <c r="F89" s="659"/>
      <c r="G89" s="659"/>
      <c r="H89" s="621"/>
      <c r="I89" s="621"/>
    </row>
    <row r="91" spans="1:13" ht="13.5" thickBot="1"/>
    <row r="92" spans="1:13" ht="13.5" thickBot="1">
      <c r="A92" s="421" t="s">
        <v>3764</v>
      </c>
      <c r="B92" s="611" t="s">
        <v>3784</v>
      </c>
      <c r="C92" s="611"/>
      <c r="D92" s="611"/>
      <c r="E92" s="611"/>
      <c r="F92" s="611"/>
      <c r="G92" s="611"/>
      <c r="H92" s="611"/>
      <c r="I92" s="611"/>
      <c r="J92" s="611"/>
      <c r="K92" s="611"/>
      <c r="L92" s="611"/>
      <c r="M92" s="611"/>
    </row>
  </sheetData>
  <sheetProtection algorithmName="SHA-512" hashValue="DkOMWRMiLuyJY7mXDDcztXkzeXl5utszBgQOKgamszIsys66FZNt81c6/p5/kXtW2vdji6ujU67zTxTedE4JfA==" saltValue="9weSi4xu4E87CMOkMmKeuQ==" spinCount="100000" sheet="1" objects="1" scenarios="1"/>
  <mergeCells count="76">
    <mergeCell ref="G88:G89"/>
    <mergeCell ref="H88:H89"/>
    <mergeCell ref="I88:I89"/>
    <mergeCell ref="G84:G85"/>
    <mergeCell ref="F86:F87"/>
    <mergeCell ref="G86:G87"/>
    <mergeCell ref="I86:I87"/>
    <mergeCell ref="F88:F89"/>
    <mergeCell ref="H86:H87"/>
    <mergeCell ref="H84:H85"/>
    <mergeCell ref="I84:I85"/>
    <mergeCell ref="A88:A89"/>
    <mergeCell ref="B88:B89"/>
    <mergeCell ref="C88:C89"/>
    <mergeCell ref="D88:D89"/>
    <mergeCell ref="E88:E89"/>
    <mergeCell ref="A86:A87"/>
    <mergeCell ref="B86:B87"/>
    <mergeCell ref="C86:C87"/>
    <mergeCell ref="D86:D87"/>
    <mergeCell ref="E86:E87"/>
    <mergeCell ref="G82:G83"/>
    <mergeCell ref="F84:F85"/>
    <mergeCell ref="F82:F83"/>
    <mergeCell ref="H80:I80"/>
    <mergeCell ref="A82:A83"/>
    <mergeCell ref="B82:B83"/>
    <mergeCell ref="C82:C83"/>
    <mergeCell ref="D82:D83"/>
    <mergeCell ref="E82:E83"/>
    <mergeCell ref="I82:I83"/>
    <mergeCell ref="A84:A85"/>
    <mergeCell ref="B84:B85"/>
    <mergeCell ref="C84:C85"/>
    <mergeCell ref="D84:D85"/>
    <mergeCell ref="E84:E85"/>
    <mergeCell ref="A59:G59"/>
    <mergeCell ref="A60:A61"/>
    <mergeCell ref="C60:C61"/>
    <mergeCell ref="D60:D61"/>
    <mergeCell ref="E60:F60"/>
    <mergeCell ref="G60:G61"/>
    <mergeCell ref="A50:G50"/>
    <mergeCell ref="B23:L26"/>
    <mergeCell ref="B27:L30"/>
    <mergeCell ref="A51:A52"/>
    <mergeCell ref="C51:C52"/>
    <mergeCell ref="D51:D52"/>
    <mergeCell ref="E51:F51"/>
    <mergeCell ref="G51:G52"/>
    <mergeCell ref="B43:L46"/>
    <mergeCell ref="B2:L2"/>
    <mergeCell ref="B31:L34"/>
    <mergeCell ref="B35:L38"/>
    <mergeCell ref="B39:L42"/>
    <mergeCell ref="B4:L7"/>
    <mergeCell ref="B8:L11"/>
    <mergeCell ref="B12:L15"/>
    <mergeCell ref="B16:L18"/>
    <mergeCell ref="B19:L22"/>
    <mergeCell ref="A75:M75"/>
    <mergeCell ref="A76:M76"/>
    <mergeCell ref="B92:M92"/>
    <mergeCell ref="A69:M69"/>
    <mergeCell ref="A70:M70"/>
    <mergeCell ref="A71:M71"/>
    <mergeCell ref="A72:M72"/>
    <mergeCell ref="A73:M73"/>
    <mergeCell ref="A74:M74"/>
    <mergeCell ref="H82:H83"/>
    <mergeCell ref="A79:A81"/>
    <mergeCell ref="B79:E79"/>
    <mergeCell ref="F79:I79"/>
    <mergeCell ref="B80:C80"/>
    <mergeCell ref="D80:E80"/>
    <mergeCell ref="F80:G80"/>
  </mergeCells>
  <pageMargins left="0" right="0" top="0.78740157480314965" bottom="0.78740157480314965" header="0.31496062992125984" footer="0.31496062992125984"/>
  <pageSetup paperSize="9" scale="60" orientation="landscape"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
  <dimension ref="B2:K93"/>
  <sheetViews>
    <sheetView workbookViewId="0">
      <selection activeCell="K12" sqref="K12"/>
    </sheetView>
  </sheetViews>
  <sheetFormatPr defaultRowHeight="12"/>
  <cols>
    <col min="1" max="1" width="3.85546875" style="28" customWidth="1"/>
    <col min="2" max="2" width="22.140625" style="14" bestFit="1" customWidth="1"/>
    <col min="3" max="3" width="9.28515625" style="17" customWidth="1"/>
    <col min="4" max="4" width="7.42578125" style="15" bestFit="1" customWidth="1"/>
    <col min="5" max="6" width="8.85546875" style="15" bestFit="1" customWidth="1"/>
    <col min="7" max="7" width="7.7109375" style="15" bestFit="1" customWidth="1"/>
    <col min="8" max="8" width="8.85546875" style="17" bestFit="1" customWidth="1"/>
    <col min="9" max="9" width="10.7109375" style="17" bestFit="1" customWidth="1"/>
    <col min="10" max="16384" width="9.140625" style="28"/>
  </cols>
  <sheetData>
    <row r="2" spans="2:11" s="18" customFormat="1" ht="12.75" customHeight="1" thickBot="1">
      <c r="B2" s="14"/>
      <c r="C2" s="17"/>
      <c r="D2" s="15"/>
      <c r="E2" s="15"/>
      <c r="F2" s="15"/>
      <c r="G2" s="16"/>
      <c r="H2" s="17"/>
      <c r="I2" s="17"/>
    </row>
    <row r="3" spans="2:11" s="22" customFormat="1" ht="63" customHeight="1" thickBot="1">
      <c r="B3" s="19" t="s">
        <v>2193</v>
      </c>
      <c r="C3" s="21" t="s">
        <v>2194</v>
      </c>
      <c r="D3" s="20" t="s">
        <v>2195</v>
      </c>
      <c r="E3" s="20" t="s">
        <v>2196</v>
      </c>
      <c r="F3" s="20" t="s">
        <v>2197</v>
      </c>
      <c r="G3" s="20" t="s">
        <v>2198</v>
      </c>
      <c r="H3" s="21" t="s">
        <v>2199</v>
      </c>
      <c r="I3" s="21" t="s">
        <v>2200</v>
      </c>
    </row>
    <row r="4" spans="2:11" ht="19.5" customHeight="1">
      <c r="B4" s="23" t="s">
        <v>2098</v>
      </c>
      <c r="C4" s="41">
        <v>3.5000000000000003E-2</v>
      </c>
      <c r="D4" s="24">
        <v>12.75</v>
      </c>
      <c r="E4" s="25">
        <v>4.0114613180515759</v>
      </c>
      <c r="F4" s="25">
        <v>8.7106017191977063</v>
      </c>
      <c r="G4" s="25">
        <v>1.8911174785100282</v>
      </c>
      <c r="H4" s="26">
        <f>SUM(E4:G4)/100</f>
        <v>0.14613180515759308</v>
      </c>
      <c r="I4" s="42">
        <f t="shared" ref="I4:I30" si="0">IF(C4=2%,12.68%,IF(C4=2.5%,13.31%,IF(C4=3%,13.96%,IF(C4=3.5%,14.61%,IF(C4=4%,15.27%,IF(C4=5%,16.62%))))))</f>
        <v>0.14610000000000001</v>
      </c>
      <c r="K4" s="29"/>
    </row>
    <row r="5" spans="2:11" ht="19.5" customHeight="1">
      <c r="B5" s="30" t="s">
        <v>2073</v>
      </c>
      <c r="C5" s="27">
        <v>0.05</v>
      </c>
      <c r="D5" s="31">
        <v>14.25</v>
      </c>
      <c r="E5" s="32">
        <v>5.8309037900874632</v>
      </c>
      <c r="F5" s="32">
        <v>8.8629737609329435</v>
      </c>
      <c r="G5" s="32">
        <v>1.9241982507288626</v>
      </c>
      <c r="H5" s="27">
        <f>SUM(E5:G5)/100</f>
        <v>0.16618075801749271</v>
      </c>
      <c r="I5" s="42">
        <f>IF(C5=2%,12.68%,IF(C5=2.5%,13.31%,IF(C5=3%,13.96%,IF(C5=3.5%,14.61%,IF(C5=4%,15.27%,IF(C5=5%,16.62%))))))</f>
        <v>0.16620000000000001</v>
      </c>
      <c r="K5" s="29"/>
    </row>
    <row r="6" spans="2:11" ht="19.5" customHeight="1">
      <c r="B6" s="30" t="s">
        <v>2077</v>
      </c>
      <c r="C6" s="27">
        <v>2.5000000000000001E-2</v>
      </c>
      <c r="D6" s="31">
        <v>11.75</v>
      </c>
      <c r="E6" s="32">
        <v>2.8328611898017004</v>
      </c>
      <c r="F6" s="32">
        <v>8.6118980169971699</v>
      </c>
      <c r="G6" s="32">
        <v>1.8696883852691222</v>
      </c>
      <c r="H6" s="27">
        <f t="shared" ref="H6:H30" si="1">SUM(E6:G6)/100</f>
        <v>0.13314447592067993</v>
      </c>
      <c r="I6" s="42">
        <f t="shared" si="0"/>
        <v>0.1331</v>
      </c>
      <c r="K6" s="29"/>
    </row>
    <row r="7" spans="2:11" ht="19.5" customHeight="1">
      <c r="B7" s="30" t="s">
        <v>2166</v>
      </c>
      <c r="C7" s="27">
        <v>0.03</v>
      </c>
      <c r="D7" s="31">
        <v>12.25</v>
      </c>
      <c r="E7" s="32">
        <v>3.4188034188034218</v>
      </c>
      <c r="F7" s="32">
        <v>8.6609686609686669</v>
      </c>
      <c r="G7" s="32">
        <v>1.8803418803418819</v>
      </c>
      <c r="H7" s="27">
        <f t="shared" si="1"/>
        <v>0.13960113960113971</v>
      </c>
      <c r="I7" s="27">
        <f t="shared" si="0"/>
        <v>0.1396</v>
      </c>
    </row>
    <row r="8" spans="2:11" ht="19.5" customHeight="1">
      <c r="B8" s="30" t="s">
        <v>2097</v>
      </c>
      <c r="C8" s="27">
        <v>0.04</v>
      </c>
      <c r="D8" s="31">
        <v>13.25</v>
      </c>
      <c r="E8" s="32">
        <v>4.6109510086455305</v>
      </c>
      <c r="F8" s="32">
        <v>8.7608069164265068</v>
      </c>
      <c r="G8" s="32">
        <v>1.9020172910662811</v>
      </c>
      <c r="H8" s="27">
        <f t="shared" si="1"/>
        <v>0.15273775216138319</v>
      </c>
      <c r="I8" s="42">
        <f t="shared" si="0"/>
        <v>0.1527</v>
      </c>
      <c r="K8" s="29"/>
    </row>
    <row r="9" spans="2:11" ht="19.5" customHeight="1">
      <c r="B9" s="30" t="s">
        <v>2075</v>
      </c>
      <c r="C9" s="27">
        <v>0.02</v>
      </c>
      <c r="D9" s="31">
        <v>11.25</v>
      </c>
      <c r="E9" s="32">
        <v>2.2535211267605644</v>
      </c>
      <c r="F9" s="32">
        <v>8.5633802816901436</v>
      </c>
      <c r="G9" s="32">
        <v>1.8591549295774654</v>
      </c>
      <c r="H9" s="27">
        <f t="shared" si="1"/>
        <v>0.12676056338028174</v>
      </c>
      <c r="I9" s="42">
        <f t="shared" si="0"/>
        <v>0.1268</v>
      </c>
      <c r="K9" s="29"/>
    </row>
    <row r="10" spans="2:11" ht="19.5" customHeight="1">
      <c r="B10" s="33" t="s">
        <v>2144</v>
      </c>
      <c r="C10" s="27">
        <v>0.05</v>
      </c>
      <c r="D10" s="31">
        <v>14.25</v>
      </c>
      <c r="E10" s="32">
        <v>5.8309037900874632</v>
      </c>
      <c r="F10" s="32">
        <v>8.8629737609329435</v>
      </c>
      <c r="G10" s="32">
        <v>1.9241982507288626</v>
      </c>
      <c r="H10" s="27">
        <f t="shared" si="1"/>
        <v>0.16618075801749271</v>
      </c>
      <c r="I10" s="42">
        <f t="shared" si="0"/>
        <v>0.16620000000000001</v>
      </c>
    </row>
    <row r="11" spans="2:11" ht="19.5" customHeight="1">
      <c r="B11" s="30" t="s">
        <v>2089</v>
      </c>
      <c r="C11" s="27">
        <v>0.05</v>
      </c>
      <c r="D11" s="31">
        <v>14.25</v>
      </c>
      <c r="E11" s="32">
        <v>5.8309037900874632</v>
      </c>
      <c r="F11" s="32">
        <v>8.8629737609329435</v>
      </c>
      <c r="G11" s="32">
        <v>1.9241982507288626</v>
      </c>
      <c r="H11" s="27">
        <f t="shared" si="1"/>
        <v>0.16618075801749271</v>
      </c>
      <c r="I11" s="42">
        <f t="shared" si="0"/>
        <v>0.16620000000000001</v>
      </c>
      <c r="K11" s="29"/>
    </row>
    <row r="12" spans="2:11" ht="19.5" customHeight="1">
      <c r="B12" s="33" t="s">
        <v>2079</v>
      </c>
      <c r="C12" s="27">
        <v>0.05</v>
      </c>
      <c r="D12" s="31">
        <v>14.25</v>
      </c>
      <c r="E12" s="32">
        <v>5.8309037900874632</v>
      </c>
      <c r="F12" s="32">
        <v>8.8629737609329435</v>
      </c>
      <c r="G12" s="32">
        <v>1.9241982507288626</v>
      </c>
      <c r="H12" s="27">
        <f t="shared" si="1"/>
        <v>0.16618075801749271</v>
      </c>
      <c r="I12" s="42">
        <f t="shared" si="0"/>
        <v>0.16620000000000001</v>
      </c>
      <c r="K12" s="29"/>
    </row>
    <row r="13" spans="2:11" ht="19.5" customHeight="1">
      <c r="B13" s="30" t="s">
        <v>2102</v>
      </c>
      <c r="C13" s="27">
        <v>0.04</v>
      </c>
      <c r="D13" s="31">
        <v>13.25</v>
      </c>
      <c r="E13" s="32">
        <v>4.6109510086455305</v>
      </c>
      <c r="F13" s="32">
        <v>8.7608069164265068</v>
      </c>
      <c r="G13" s="32">
        <v>1.9020172910662811</v>
      </c>
      <c r="H13" s="27">
        <f t="shared" si="1"/>
        <v>0.15273775216138319</v>
      </c>
      <c r="I13" s="42">
        <f t="shared" si="0"/>
        <v>0.1527</v>
      </c>
    </row>
    <row r="14" spans="2:11" ht="19.5" customHeight="1">
      <c r="B14" s="30" t="s">
        <v>2093</v>
      </c>
      <c r="C14" s="27">
        <v>0.05</v>
      </c>
      <c r="D14" s="31">
        <v>14.25</v>
      </c>
      <c r="E14" s="32">
        <v>5.8309037900874632</v>
      </c>
      <c r="F14" s="32">
        <v>8.8629737609329435</v>
      </c>
      <c r="G14" s="32">
        <v>1.9241982507288626</v>
      </c>
      <c r="H14" s="27">
        <f t="shared" si="1"/>
        <v>0.16618075801749271</v>
      </c>
      <c r="I14" s="42">
        <f t="shared" si="0"/>
        <v>0.16620000000000001</v>
      </c>
      <c r="K14" s="29"/>
    </row>
    <row r="15" spans="2:11" ht="19.5" customHeight="1">
      <c r="B15" s="30" t="s">
        <v>2083</v>
      </c>
      <c r="C15" s="27">
        <v>0.05</v>
      </c>
      <c r="D15" s="31">
        <v>14.25</v>
      </c>
      <c r="E15" s="32">
        <v>5.8309037900874632</v>
      </c>
      <c r="F15" s="32">
        <v>8.8629737609329435</v>
      </c>
      <c r="G15" s="32">
        <v>1.9241982507288626</v>
      </c>
      <c r="H15" s="27">
        <f t="shared" si="1"/>
        <v>0.16618075801749271</v>
      </c>
      <c r="I15" s="42">
        <f t="shared" si="0"/>
        <v>0.16620000000000001</v>
      </c>
      <c r="K15" s="29"/>
    </row>
    <row r="16" spans="2:11" ht="19.5" customHeight="1">
      <c r="B16" s="30" t="s">
        <v>2088</v>
      </c>
      <c r="C16" s="27">
        <v>0.03</v>
      </c>
      <c r="D16" s="31">
        <v>12.25</v>
      </c>
      <c r="E16" s="32">
        <v>3.4188034188034218</v>
      </c>
      <c r="F16" s="32">
        <v>8.6609686609686669</v>
      </c>
      <c r="G16" s="32">
        <v>1.8803418803418819</v>
      </c>
      <c r="H16" s="27">
        <f t="shared" si="1"/>
        <v>0.13960113960113971</v>
      </c>
      <c r="I16" s="42">
        <f t="shared" si="0"/>
        <v>0.1396</v>
      </c>
      <c r="K16" s="29"/>
    </row>
    <row r="17" spans="2:11" ht="19.5" customHeight="1">
      <c r="B17" s="30" t="s">
        <v>2084</v>
      </c>
      <c r="C17" s="27">
        <v>0.03</v>
      </c>
      <c r="D17" s="31">
        <v>12.25</v>
      </c>
      <c r="E17" s="32">
        <v>3.4188034188034218</v>
      </c>
      <c r="F17" s="32">
        <v>8.6609686609686669</v>
      </c>
      <c r="G17" s="32">
        <v>1.8803418803418819</v>
      </c>
      <c r="H17" s="27">
        <f t="shared" si="1"/>
        <v>0.13960113960113971</v>
      </c>
      <c r="I17" s="42">
        <f t="shared" si="0"/>
        <v>0.1396</v>
      </c>
    </row>
    <row r="18" spans="2:11" ht="19.5" customHeight="1">
      <c r="B18" s="30" t="s">
        <v>2082</v>
      </c>
      <c r="C18" s="27">
        <v>0.03</v>
      </c>
      <c r="D18" s="31">
        <v>12.25</v>
      </c>
      <c r="E18" s="32">
        <v>3.4188034188034218</v>
      </c>
      <c r="F18" s="32">
        <v>8.6609686609686669</v>
      </c>
      <c r="G18" s="32">
        <v>1.8803418803418819</v>
      </c>
      <c r="H18" s="27">
        <f t="shared" si="1"/>
        <v>0.13960113960113971</v>
      </c>
      <c r="I18" s="42">
        <f t="shared" si="0"/>
        <v>0.1396</v>
      </c>
      <c r="K18" s="29"/>
    </row>
    <row r="19" spans="2:11" ht="19.5" customHeight="1">
      <c r="B19" s="30" t="s">
        <v>2086</v>
      </c>
      <c r="C19" s="27">
        <v>0.02</v>
      </c>
      <c r="D19" s="31">
        <v>11.25</v>
      </c>
      <c r="E19" s="32">
        <v>2.2535211267605644</v>
      </c>
      <c r="F19" s="32">
        <v>8.5633802816901436</v>
      </c>
      <c r="G19" s="32">
        <v>1.8591549295774654</v>
      </c>
      <c r="H19" s="27">
        <f t="shared" si="1"/>
        <v>0.12676056338028174</v>
      </c>
      <c r="I19" s="42">
        <f t="shared" si="0"/>
        <v>0.1268</v>
      </c>
      <c r="K19" s="29"/>
    </row>
    <row r="20" spans="2:11" ht="19.5" customHeight="1">
      <c r="B20" s="30" t="s">
        <v>2139</v>
      </c>
      <c r="C20" s="27">
        <v>0.05</v>
      </c>
      <c r="D20" s="31">
        <v>14.25</v>
      </c>
      <c r="E20" s="32">
        <v>5.8309037900874632</v>
      </c>
      <c r="F20" s="32">
        <v>8.8629737609329435</v>
      </c>
      <c r="G20" s="32">
        <v>1.9241982507288626</v>
      </c>
      <c r="H20" s="27">
        <f t="shared" si="1"/>
        <v>0.16618075801749271</v>
      </c>
      <c r="I20" s="42">
        <f t="shared" si="0"/>
        <v>0.16620000000000001</v>
      </c>
      <c r="K20" s="29"/>
    </row>
    <row r="21" spans="2:11" ht="19.5" customHeight="1">
      <c r="B21" s="30" t="s">
        <v>2142</v>
      </c>
      <c r="C21" s="27">
        <v>0.02</v>
      </c>
      <c r="D21" s="31">
        <v>11.25</v>
      </c>
      <c r="E21" s="32">
        <v>2.2535211267605644</v>
      </c>
      <c r="F21" s="32">
        <v>8.5633802816901436</v>
      </c>
      <c r="G21" s="32">
        <v>1.8591549295774654</v>
      </c>
      <c r="H21" s="27">
        <f t="shared" si="1"/>
        <v>0.12676056338028174</v>
      </c>
      <c r="I21" s="42">
        <f t="shared" si="0"/>
        <v>0.1268</v>
      </c>
      <c r="K21" s="29"/>
    </row>
    <row r="22" spans="2:11" ht="19.5" customHeight="1">
      <c r="B22" s="30" t="s">
        <v>2078</v>
      </c>
      <c r="C22" s="27">
        <v>0.04</v>
      </c>
      <c r="D22" s="31">
        <v>13.25</v>
      </c>
      <c r="E22" s="32">
        <v>4.6109510086455305</v>
      </c>
      <c r="F22" s="32">
        <v>8.7608069164265068</v>
      </c>
      <c r="G22" s="32">
        <v>1.9020172910662811</v>
      </c>
      <c r="H22" s="27">
        <f t="shared" si="1"/>
        <v>0.15273775216138319</v>
      </c>
      <c r="I22" s="42">
        <f t="shared" si="0"/>
        <v>0.1527</v>
      </c>
      <c r="K22" s="29"/>
    </row>
    <row r="23" spans="2:11" ht="19.5" customHeight="1">
      <c r="B23" s="30" t="s">
        <v>2201</v>
      </c>
      <c r="C23" s="27">
        <v>0.02</v>
      </c>
      <c r="D23" s="31">
        <v>11.25</v>
      </c>
      <c r="E23" s="32">
        <v>2.2535211267605644</v>
      </c>
      <c r="F23" s="32">
        <v>8.5633802816901436</v>
      </c>
      <c r="G23" s="32">
        <v>1.8591549295774654</v>
      </c>
      <c r="H23" s="27">
        <f t="shared" si="1"/>
        <v>0.12676056338028174</v>
      </c>
      <c r="I23" s="27">
        <f t="shared" si="0"/>
        <v>0.1268</v>
      </c>
    </row>
    <row r="24" spans="2:11" ht="19.5" customHeight="1">
      <c r="B24" s="30" t="s">
        <v>2137</v>
      </c>
      <c r="C24" s="27">
        <v>0.02</v>
      </c>
      <c r="D24" s="31">
        <v>11.25</v>
      </c>
      <c r="E24" s="32">
        <v>2.2535211267605644</v>
      </c>
      <c r="F24" s="32">
        <v>8.5633802816901436</v>
      </c>
      <c r="G24" s="32">
        <v>1.8591549295774654</v>
      </c>
      <c r="H24" s="27">
        <f t="shared" si="1"/>
        <v>0.12676056338028174</v>
      </c>
      <c r="I24" s="42">
        <f t="shared" si="0"/>
        <v>0.1268</v>
      </c>
      <c r="K24" s="29"/>
    </row>
    <row r="25" spans="2:11" ht="19.5" customHeight="1">
      <c r="B25" s="30" t="s">
        <v>2150</v>
      </c>
      <c r="C25" s="27">
        <v>0.03</v>
      </c>
      <c r="D25" s="31">
        <v>12.25</v>
      </c>
      <c r="E25" s="32">
        <v>3.4188034188034218</v>
      </c>
      <c r="F25" s="32">
        <v>8.6609686609686669</v>
      </c>
      <c r="G25" s="32">
        <v>1.8803418803418819</v>
      </c>
      <c r="H25" s="27">
        <f t="shared" si="1"/>
        <v>0.13960113960113971</v>
      </c>
      <c r="I25" s="42">
        <f t="shared" si="0"/>
        <v>0.1396</v>
      </c>
      <c r="K25" s="29"/>
    </row>
    <row r="26" spans="2:11" ht="19.5" customHeight="1">
      <c r="B26" s="30" t="s">
        <v>2104</v>
      </c>
      <c r="C26" s="27">
        <v>0.02</v>
      </c>
      <c r="D26" s="31">
        <v>11.25</v>
      </c>
      <c r="E26" s="32">
        <v>2.2535211267605644</v>
      </c>
      <c r="F26" s="32">
        <v>8.5633802816901436</v>
      </c>
      <c r="G26" s="32">
        <v>1.8591549295774654</v>
      </c>
      <c r="H26" s="27">
        <f t="shared" si="1"/>
        <v>0.12676056338028174</v>
      </c>
      <c r="I26" s="42">
        <f t="shared" si="0"/>
        <v>0.1268</v>
      </c>
      <c r="K26" s="29"/>
    </row>
    <row r="27" spans="2:11" ht="19.5" customHeight="1">
      <c r="B27" s="30" t="s">
        <v>2140</v>
      </c>
      <c r="C27" s="27">
        <v>0.03</v>
      </c>
      <c r="D27" s="31">
        <v>12.25</v>
      </c>
      <c r="E27" s="32">
        <v>3.4188034188034218</v>
      </c>
      <c r="F27" s="32">
        <v>8.6609686609686669</v>
      </c>
      <c r="G27" s="32">
        <v>1.8803418803418819</v>
      </c>
      <c r="H27" s="27">
        <f t="shared" si="1"/>
        <v>0.13960113960113971</v>
      </c>
      <c r="I27" s="42">
        <f t="shared" si="0"/>
        <v>0.1396</v>
      </c>
      <c r="K27" s="29"/>
    </row>
    <row r="28" spans="2:11" ht="19.5" customHeight="1">
      <c r="B28" s="30" t="s">
        <v>2076</v>
      </c>
      <c r="C28" s="27">
        <v>0.03</v>
      </c>
      <c r="D28" s="31">
        <v>12.25</v>
      </c>
      <c r="E28" s="32">
        <v>3.4188034188034218</v>
      </c>
      <c r="F28" s="32">
        <v>8.6609686609686669</v>
      </c>
      <c r="G28" s="32">
        <v>1.8803418803418819</v>
      </c>
      <c r="H28" s="27">
        <f t="shared" si="1"/>
        <v>0.13960113960113971</v>
      </c>
      <c r="I28" s="42">
        <f t="shared" si="0"/>
        <v>0.1396</v>
      </c>
      <c r="K28" s="29"/>
    </row>
    <row r="29" spans="2:11" ht="19.5" customHeight="1">
      <c r="B29" s="30" t="s">
        <v>2080</v>
      </c>
      <c r="C29" s="27">
        <v>0.02</v>
      </c>
      <c r="D29" s="31">
        <v>11.25</v>
      </c>
      <c r="E29" s="32">
        <v>2.2535211267605644</v>
      </c>
      <c r="F29" s="32">
        <v>8.5633802816901436</v>
      </c>
      <c r="G29" s="32">
        <v>1.8591549295774654</v>
      </c>
      <c r="H29" s="27">
        <f t="shared" si="1"/>
        <v>0.12676056338028174</v>
      </c>
      <c r="I29" s="42">
        <f t="shared" si="0"/>
        <v>0.1268</v>
      </c>
      <c r="K29" s="29"/>
    </row>
    <row r="30" spans="2:11" ht="19.5" customHeight="1" thickBot="1">
      <c r="B30" s="34" t="s">
        <v>2103</v>
      </c>
      <c r="C30" s="27">
        <v>0.02</v>
      </c>
      <c r="D30" s="31">
        <v>11.25</v>
      </c>
      <c r="E30" s="32">
        <v>2.2535211267605644</v>
      </c>
      <c r="F30" s="32">
        <v>8.5633802816901436</v>
      </c>
      <c r="G30" s="32">
        <v>1.8591549295774654</v>
      </c>
      <c r="H30" s="27">
        <f t="shared" si="1"/>
        <v>0.12676056338028174</v>
      </c>
      <c r="I30" s="42">
        <f t="shared" si="0"/>
        <v>0.1268</v>
      </c>
    </row>
    <row r="31" spans="2:11" s="38" customFormat="1" ht="22.5" customHeight="1" thickBot="1">
      <c r="B31" s="35"/>
      <c r="C31" s="37"/>
      <c r="D31" s="36"/>
      <c r="E31" s="36"/>
      <c r="F31" s="36"/>
      <c r="G31" s="36"/>
      <c r="H31" s="37"/>
      <c r="I31" s="37"/>
    </row>
    <row r="32" spans="2:11" ht="12" customHeight="1">
      <c r="B32" s="39"/>
    </row>
    <row r="33" spans="2:2" ht="12.75" customHeight="1"/>
    <row r="34" spans="2:2" ht="12.75" customHeight="1"/>
    <row r="35" spans="2:2" ht="12.75" customHeight="1"/>
    <row r="36" spans="2:2" ht="12.75" customHeight="1"/>
    <row r="37" spans="2:2" ht="12.75" customHeight="1"/>
    <row r="38" spans="2:2" ht="12.75" customHeight="1"/>
    <row r="39" spans="2:2" ht="12.75" customHeight="1"/>
    <row r="40" spans="2:2" ht="12.75" customHeight="1"/>
    <row r="41" spans="2:2" ht="12.75" customHeight="1"/>
    <row r="42" spans="2:2" ht="12.75" customHeight="1"/>
    <row r="43" spans="2:2" ht="12.75" customHeight="1"/>
    <row r="44" spans="2:2" ht="12.75" customHeight="1"/>
    <row r="45" spans="2:2" ht="12.75" customHeight="1"/>
    <row r="46" spans="2:2" ht="12.75" customHeight="1">
      <c r="B46" s="40"/>
    </row>
    <row r="47" spans="2:2" ht="12.75" customHeight="1"/>
    <row r="48" spans="2:2"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sheetData>
  <dataValidations count="1">
    <dataValidation type="list" allowBlank="1" showInputMessage="1" showErrorMessage="1" sqref="B4:B30">
      <formula1>cidades</formula1>
    </dataValidation>
  </dataValidation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3">
    <tabColor theme="3" tint="0.79998168889431442"/>
  </sheetPr>
  <dimension ref="A1:BN48"/>
  <sheetViews>
    <sheetView showGridLines="0" topLeftCell="AV1" workbookViewId="0">
      <selection activeCell="O34" sqref="O34"/>
    </sheetView>
  </sheetViews>
  <sheetFormatPr defaultColWidth="8.7109375" defaultRowHeight="12"/>
  <cols>
    <col min="1" max="1" width="35" style="218" bestFit="1" customWidth="1"/>
    <col min="2" max="5" width="8.7109375" style="218" customWidth="1"/>
    <col min="6" max="6" width="13.5703125" style="218" customWidth="1"/>
    <col min="7" max="9" width="8.7109375" style="218" customWidth="1"/>
    <col min="10" max="10" width="12.42578125" style="218" customWidth="1"/>
    <col min="11" max="11" width="8.7109375" style="218" customWidth="1"/>
    <col min="12" max="12" width="12.42578125" style="218" customWidth="1"/>
    <col min="13" max="13" width="8.7109375" style="218" customWidth="1"/>
    <col min="14" max="14" width="12.42578125" style="218" customWidth="1"/>
    <col min="15" max="15" width="8.7109375" style="218" customWidth="1"/>
    <col min="16" max="16" width="11.42578125" style="218" customWidth="1"/>
    <col min="17" max="18" width="8.7109375" style="218" customWidth="1"/>
    <col min="19" max="19" width="11.42578125" style="218" customWidth="1"/>
    <col min="20" max="25" width="8.7109375" style="218" customWidth="1"/>
    <col min="26" max="26" width="12.7109375" style="218" customWidth="1"/>
    <col min="27" max="29" width="8.7109375" style="218" customWidth="1"/>
    <col min="30" max="30" width="9.7109375" style="218" customWidth="1"/>
    <col min="31" max="32" width="8.7109375" style="218" customWidth="1"/>
    <col min="33" max="33" width="11.42578125" style="218" customWidth="1"/>
    <col min="34" max="34" width="8.7109375" style="218" customWidth="1"/>
    <col min="35" max="35" width="11.42578125" style="218" customWidth="1"/>
    <col min="36" max="38" width="8.7109375" style="218" customWidth="1"/>
    <col min="39" max="39" width="9.7109375" style="218" customWidth="1"/>
    <col min="40" max="45" width="8.7109375" style="218" customWidth="1"/>
    <col min="46" max="46" width="12.42578125" style="218" customWidth="1"/>
    <col min="47" max="50" width="8.7109375" style="218" customWidth="1"/>
    <col min="51" max="51" width="11.42578125" style="218" customWidth="1"/>
    <col min="52" max="54" width="8.7109375" style="218" customWidth="1"/>
    <col min="55" max="55" width="9.7109375" style="218" customWidth="1"/>
    <col min="56" max="56" width="8.7109375" style="218" customWidth="1"/>
    <col min="57" max="57" width="9.7109375" style="218" customWidth="1"/>
    <col min="58" max="60" width="8.7109375" style="218" customWidth="1"/>
    <col min="61" max="61" width="9.7109375" style="218" customWidth="1"/>
    <col min="62" max="62" width="8.7109375" style="218" customWidth="1"/>
    <col min="63" max="63" width="9.7109375" style="218" customWidth="1"/>
    <col min="64" max="64" width="14.28515625" style="218" customWidth="1"/>
    <col min="65" max="65" width="11.7109375" style="218" customWidth="1"/>
    <col min="66" max="16384" width="8.7109375" style="218"/>
  </cols>
  <sheetData>
    <row r="1" spans="1:66" ht="14.25" thickBot="1">
      <c r="A1" s="216"/>
      <c r="B1" s="216"/>
      <c r="C1" s="216"/>
      <c r="D1" s="216"/>
      <c r="E1" s="216"/>
      <c r="F1" s="216"/>
      <c r="G1" s="216"/>
      <c r="H1" s="216"/>
      <c r="I1" s="216"/>
      <c r="J1" s="216"/>
      <c r="K1" s="216"/>
      <c r="L1" s="216"/>
      <c r="M1" s="216"/>
      <c r="N1" s="216"/>
      <c r="O1" s="216"/>
      <c r="P1" s="216"/>
      <c r="Q1" s="216"/>
      <c r="R1" s="216"/>
      <c r="S1" s="216"/>
      <c r="T1" s="216"/>
      <c r="U1" s="216"/>
      <c r="V1" s="216"/>
      <c r="W1" s="216"/>
      <c r="X1" s="216"/>
      <c r="Y1" s="216"/>
      <c r="Z1" s="217"/>
      <c r="AA1" s="216"/>
      <c r="AB1" s="216"/>
      <c r="AC1" s="216"/>
      <c r="AD1" s="216"/>
      <c r="AE1" s="216"/>
      <c r="AF1" s="216"/>
      <c r="AG1" s="216"/>
      <c r="AH1" s="216"/>
      <c r="AI1" s="216"/>
      <c r="AJ1" s="216"/>
      <c r="AK1" s="216"/>
      <c r="AL1" s="216"/>
      <c r="AM1" s="216"/>
      <c r="AN1" s="216"/>
      <c r="AO1" s="216"/>
      <c r="AP1" s="216"/>
      <c r="AQ1" s="216"/>
      <c r="AR1" s="216"/>
      <c r="AS1" s="216"/>
      <c r="AT1" s="216"/>
      <c r="AU1" s="216"/>
      <c r="AV1" s="216"/>
      <c r="AW1" s="216"/>
      <c r="AX1" s="216"/>
      <c r="AY1" s="216"/>
      <c r="AZ1" s="216"/>
      <c r="BA1" s="216"/>
      <c r="BB1" s="216"/>
      <c r="BC1" s="216"/>
      <c r="BD1" s="216"/>
      <c r="BE1" s="216"/>
      <c r="BF1" s="216"/>
      <c r="BG1" s="216"/>
      <c r="BH1" s="216"/>
      <c r="BI1" s="216"/>
      <c r="BJ1" s="216"/>
      <c r="BK1" s="216"/>
      <c r="BL1" s="216"/>
    </row>
    <row r="2" spans="1:66">
      <c r="A2" s="727" t="s">
        <v>3304</v>
      </c>
      <c r="B2" s="728"/>
      <c r="C2" s="728"/>
      <c r="D2" s="728"/>
      <c r="E2" s="728"/>
      <c r="F2" s="728"/>
      <c r="G2" s="728"/>
      <c r="H2" s="728"/>
      <c r="I2" s="728"/>
      <c r="J2" s="728"/>
      <c r="K2" s="728"/>
      <c r="L2" s="728"/>
      <c r="M2" s="728"/>
      <c r="N2" s="728"/>
      <c r="O2" s="728"/>
      <c r="P2" s="728"/>
      <c r="Q2" s="728"/>
      <c r="R2" s="728"/>
      <c r="S2" s="728"/>
      <c r="T2" s="728"/>
      <c r="U2" s="728"/>
      <c r="V2" s="728"/>
      <c r="W2" s="728"/>
      <c r="X2" s="728"/>
      <c r="Y2" s="728"/>
      <c r="Z2" s="728"/>
      <c r="AA2" s="728"/>
      <c r="AB2" s="728"/>
      <c r="AC2" s="728"/>
      <c r="AD2" s="728"/>
      <c r="AE2" s="728"/>
      <c r="AF2" s="728"/>
      <c r="AG2" s="728"/>
      <c r="AH2" s="728"/>
      <c r="AI2" s="728"/>
      <c r="AJ2" s="728"/>
      <c r="AK2" s="728"/>
      <c r="AL2" s="728"/>
      <c r="AM2" s="728"/>
      <c r="AN2" s="728"/>
      <c r="AO2" s="728"/>
      <c r="AP2" s="728"/>
      <c r="AQ2" s="728"/>
      <c r="AR2" s="728"/>
      <c r="AS2" s="728"/>
      <c r="AT2" s="728"/>
      <c r="AU2" s="728"/>
      <c r="AV2" s="728"/>
      <c r="AW2" s="728"/>
      <c r="AX2" s="728"/>
      <c r="AY2" s="728"/>
      <c r="AZ2" s="728"/>
      <c r="BA2" s="728"/>
      <c r="BB2" s="728"/>
      <c r="BC2" s="728"/>
      <c r="BD2" s="728"/>
      <c r="BE2" s="728"/>
      <c r="BF2" s="728"/>
      <c r="BG2" s="728"/>
      <c r="BH2" s="728"/>
      <c r="BI2" s="728"/>
      <c r="BJ2" s="728"/>
      <c r="BK2" s="728"/>
      <c r="BL2" s="729"/>
    </row>
    <row r="3" spans="1:66">
      <c r="A3" s="730" t="s">
        <v>3305</v>
      </c>
      <c r="B3" s="731"/>
      <c r="C3" s="731"/>
      <c r="D3" s="731"/>
      <c r="E3" s="731"/>
      <c r="F3" s="731"/>
      <c r="G3" s="731"/>
      <c r="H3" s="731"/>
      <c r="I3" s="731"/>
      <c r="J3" s="731"/>
      <c r="K3" s="731"/>
      <c r="L3" s="731"/>
      <c r="M3" s="731"/>
      <c r="N3" s="731"/>
      <c r="O3" s="731"/>
      <c r="P3" s="731"/>
      <c r="Q3" s="731"/>
      <c r="R3" s="731"/>
      <c r="S3" s="731"/>
      <c r="T3" s="731"/>
      <c r="U3" s="731"/>
      <c r="V3" s="731"/>
      <c r="W3" s="731"/>
      <c r="X3" s="731"/>
      <c r="Y3" s="731"/>
      <c r="Z3" s="731"/>
      <c r="AA3" s="731"/>
      <c r="AB3" s="731"/>
      <c r="AC3" s="731"/>
      <c r="AD3" s="731"/>
      <c r="AE3" s="731"/>
      <c r="AF3" s="731"/>
      <c r="AG3" s="731"/>
      <c r="AH3" s="731"/>
      <c r="AI3" s="731"/>
      <c r="AJ3" s="731"/>
      <c r="AK3" s="731"/>
      <c r="AL3" s="731"/>
      <c r="AM3" s="731"/>
      <c r="AN3" s="731"/>
      <c r="AO3" s="731"/>
      <c r="AP3" s="731"/>
      <c r="AQ3" s="731"/>
      <c r="AR3" s="731"/>
      <c r="AS3" s="731"/>
      <c r="AT3" s="731"/>
      <c r="AU3" s="731"/>
      <c r="AV3" s="731"/>
      <c r="AW3" s="731"/>
      <c r="AX3" s="731"/>
      <c r="AY3" s="731"/>
      <c r="AZ3" s="731"/>
      <c r="BA3" s="731"/>
      <c r="BB3" s="731"/>
      <c r="BC3" s="731"/>
      <c r="BD3" s="731"/>
      <c r="BE3" s="731"/>
      <c r="BF3" s="731"/>
      <c r="BG3" s="731"/>
      <c r="BH3" s="731"/>
      <c r="BI3" s="731"/>
      <c r="BJ3" s="731"/>
      <c r="BK3" s="731"/>
      <c r="BL3" s="732"/>
    </row>
    <row r="4" spans="1:66" ht="12.75" thickBot="1">
      <c r="A4" s="733" t="s">
        <v>3306</v>
      </c>
      <c r="B4" s="734"/>
      <c r="C4" s="734"/>
      <c r="D4" s="734"/>
      <c r="E4" s="734"/>
      <c r="F4" s="734"/>
      <c r="G4" s="734"/>
      <c r="H4" s="734"/>
      <c r="I4" s="734"/>
      <c r="J4" s="734"/>
      <c r="K4" s="734"/>
      <c r="L4" s="734"/>
      <c r="M4" s="734"/>
      <c r="N4" s="734"/>
      <c r="O4" s="734"/>
      <c r="P4" s="734"/>
      <c r="Q4" s="734"/>
      <c r="R4" s="734"/>
      <c r="S4" s="734"/>
      <c r="T4" s="734"/>
      <c r="U4" s="734"/>
      <c r="V4" s="734"/>
      <c r="W4" s="734"/>
      <c r="X4" s="734"/>
      <c r="Y4" s="734"/>
      <c r="Z4" s="734"/>
      <c r="AA4" s="734"/>
      <c r="AB4" s="734"/>
      <c r="AC4" s="734"/>
      <c r="AD4" s="734"/>
      <c r="AE4" s="734"/>
      <c r="AF4" s="734"/>
      <c r="AG4" s="734"/>
      <c r="AH4" s="734"/>
      <c r="AI4" s="734"/>
      <c r="AJ4" s="734"/>
      <c r="AK4" s="734"/>
      <c r="AL4" s="734"/>
      <c r="AM4" s="734"/>
      <c r="AN4" s="734"/>
      <c r="AO4" s="734"/>
      <c r="AP4" s="734"/>
      <c r="AQ4" s="734"/>
      <c r="AR4" s="734"/>
      <c r="AS4" s="734"/>
      <c r="AT4" s="734"/>
      <c r="AU4" s="734"/>
      <c r="AV4" s="734"/>
      <c r="AW4" s="734"/>
      <c r="AX4" s="734"/>
      <c r="AY4" s="734"/>
      <c r="AZ4" s="734"/>
      <c r="BA4" s="734"/>
      <c r="BB4" s="734"/>
      <c r="BC4" s="734"/>
      <c r="BD4" s="734"/>
      <c r="BE4" s="734"/>
      <c r="BF4" s="734"/>
      <c r="BG4" s="734"/>
      <c r="BH4" s="734"/>
      <c r="BI4" s="734"/>
      <c r="BJ4" s="734"/>
      <c r="BK4" s="734"/>
      <c r="BL4" s="735"/>
    </row>
    <row r="5" spans="1:66" ht="13.5" thickBot="1">
      <c r="A5" s="219"/>
      <c r="B5" s="219"/>
      <c r="C5" s="219"/>
      <c r="D5" s="219"/>
      <c r="E5" s="219"/>
      <c r="F5" s="219"/>
      <c r="G5" s="219"/>
      <c r="H5" s="219"/>
      <c r="I5" s="219"/>
      <c r="J5" s="219"/>
      <c r="K5" s="219"/>
      <c r="L5" s="219"/>
      <c r="M5" s="219"/>
      <c r="N5" s="219"/>
      <c r="O5" s="219"/>
      <c r="P5" s="219"/>
      <c r="Q5" s="219"/>
      <c r="R5" s="219"/>
      <c r="S5" s="219"/>
      <c r="T5" s="220"/>
      <c r="U5" s="219"/>
      <c r="V5" s="219"/>
      <c r="W5" s="219"/>
      <c r="X5" s="219"/>
      <c r="Y5" s="219"/>
      <c r="Z5" s="219"/>
      <c r="AA5" s="219"/>
      <c r="AB5" s="219"/>
      <c r="AC5" s="219"/>
      <c r="AD5" s="219"/>
      <c r="AE5" s="219"/>
      <c r="AF5" s="219"/>
      <c r="AG5" s="219"/>
      <c r="AH5" s="219"/>
      <c r="AI5" s="219"/>
      <c r="AJ5" s="221"/>
      <c r="AK5" s="221"/>
      <c r="AL5" s="221"/>
      <c r="AM5" s="221"/>
      <c r="AN5" s="221"/>
      <c r="AO5" s="221"/>
      <c r="AP5" s="221"/>
      <c r="AQ5" s="221"/>
      <c r="AR5" s="221"/>
      <c r="AS5" s="221"/>
      <c r="AT5" s="221"/>
      <c r="AU5" s="221"/>
      <c r="AV5" s="221"/>
      <c r="AW5" s="221"/>
      <c r="AX5" s="221"/>
      <c r="AY5" s="221"/>
      <c r="AZ5" s="221"/>
      <c r="BA5" s="221"/>
      <c r="BB5" s="221"/>
      <c r="BC5" s="221"/>
      <c r="BD5" s="221"/>
      <c r="BE5" s="221"/>
      <c r="BF5" s="221"/>
      <c r="BG5" s="221"/>
      <c r="BH5" s="221"/>
      <c r="BI5" s="221"/>
      <c r="BJ5" s="222"/>
      <c r="BK5" s="222"/>
      <c r="BL5" s="223"/>
    </row>
    <row r="6" spans="1:66" ht="12.75" customHeight="1" thickBot="1">
      <c r="A6" s="709" t="s">
        <v>3307</v>
      </c>
      <c r="B6" s="737" t="s">
        <v>3308</v>
      </c>
      <c r="C6" s="717" t="s">
        <v>3309</v>
      </c>
      <c r="D6" s="718"/>
      <c r="E6" s="718"/>
      <c r="F6" s="719"/>
      <c r="G6" s="739" t="s">
        <v>3310</v>
      </c>
      <c r="H6" s="718"/>
      <c r="I6" s="718"/>
      <c r="J6" s="719"/>
      <c r="K6" s="705" t="s">
        <v>3311</v>
      </c>
      <c r="L6" s="706"/>
      <c r="M6" s="717" t="s">
        <v>3312</v>
      </c>
      <c r="N6" s="719"/>
      <c r="O6" s="705" t="s">
        <v>3313</v>
      </c>
      <c r="P6" s="706"/>
      <c r="Q6" s="705" t="s">
        <v>3314</v>
      </c>
      <c r="R6" s="716"/>
      <c r="S6" s="706"/>
      <c r="T6" s="717" t="s">
        <v>3315</v>
      </c>
      <c r="U6" s="718"/>
      <c r="V6" s="718"/>
      <c r="W6" s="718"/>
      <c r="X6" s="718"/>
      <c r="Y6" s="718"/>
      <c r="Z6" s="719"/>
      <c r="AA6" s="717" t="s">
        <v>3316</v>
      </c>
      <c r="AB6" s="718"/>
      <c r="AC6" s="718"/>
      <c r="AD6" s="719"/>
      <c r="AE6" s="723" t="s">
        <v>3317</v>
      </c>
      <c r="AF6" s="723"/>
      <c r="AG6" s="723"/>
      <c r="AH6" s="725" t="s">
        <v>3318</v>
      </c>
      <c r="AI6" s="726"/>
      <c r="AJ6" s="717" t="s">
        <v>3319</v>
      </c>
      <c r="AK6" s="719"/>
      <c r="AL6" s="705" t="s">
        <v>3320</v>
      </c>
      <c r="AM6" s="706"/>
      <c r="AN6" s="717" t="s">
        <v>3321</v>
      </c>
      <c r="AO6" s="718"/>
      <c r="AP6" s="718"/>
      <c r="AQ6" s="718"/>
      <c r="AR6" s="718"/>
      <c r="AS6" s="718"/>
      <c r="AT6" s="719"/>
      <c r="AU6" s="705" t="s">
        <v>3322</v>
      </c>
      <c r="AV6" s="706"/>
      <c r="AW6" s="705" t="s">
        <v>3323</v>
      </c>
      <c r="AX6" s="716"/>
      <c r="AY6" s="706"/>
      <c r="AZ6" s="703" t="s">
        <v>3324</v>
      </c>
      <c r="BA6" s="704"/>
      <c r="BB6" s="705" t="s">
        <v>3325</v>
      </c>
      <c r="BC6" s="706"/>
      <c r="BD6" s="705" t="s">
        <v>3326</v>
      </c>
      <c r="BE6" s="706"/>
      <c r="BF6" s="705" t="s">
        <v>3327</v>
      </c>
      <c r="BG6" s="716"/>
      <c r="BH6" s="716"/>
      <c r="BI6" s="706"/>
      <c r="BJ6" s="705" t="s">
        <v>3328</v>
      </c>
      <c r="BK6" s="706"/>
      <c r="BL6" s="720" t="s">
        <v>3329</v>
      </c>
      <c r="BM6" s="720" t="s">
        <v>3330</v>
      </c>
    </row>
    <row r="7" spans="1:66" ht="167.25" thickBot="1">
      <c r="A7" s="710"/>
      <c r="B7" s="738"/>
      <c r="C7" s="224" t="s">
        <v>3331</v>
      </c>
      <c r="D7" s="224" t="s">
        <v>3332</v>
      </c>
      <c r="E7" s="224" t="s">
        <v>3333</v>
      </c>
      <c r="F7" s="714" t="s">
        <v>3138</v>
      </c>
      <c r="G7" s="225" t="s">
        <v>3334</v>
      </c>
      <c r="H7" s="226" t="s">
        <v>3335</v>
      </c>
      <c r="I7" s="227" t="s">
        <v>3336</v>
      </c>
      <c r="J7" s="709" t="s">
        <v>3337</v>
      </c>
      <c r="K7" s="228" t="s">
        <v>3334</v>
      </c>
      <c r="L7" s="709" t="s">
        <v>3337</v>
      </c>
      <c r="M7" s="225" t="s">
        <v>3338</v>
      </c>
      <c r="N7" s="709" t="s">
        <v>3337</v>
      </c>
      <c r="O7" s="229" t="s">
        <v>3339</v>
      </c>
      <c r="P7" s="709" t="s">
        <v>3337</v>
      </c>
      <c r="Q7" s="227" t="s">
        <v>3340</v>
      </c>
      <c r="R7" s="227" t="s">
        <v>3341</v>
      </c>
      <c r="S7" s="709" t="s">
        <v>3337</v>
      </c>
      <c r="T7" s="229" t="s">
        <v>3342</v>
      </c>
      <c r="U7" s="229" t="s">
        <v>3343</v>
      </c>
      <c r="V7" s="225" t="s">
        <v>3344</v>
      </c>
      <c r="W7" s="230" t="s">
        <v>3345</v>
      </c>
      <c r="X7" s="230" t="s">
        <v>3346</v>
      </c>
      <c r="Y7" s="231" t="s">
        <v>3347</v>
      </c>
      <c r="Z7" s="707" t="s">
        <v>3138</v>
      </c>
      <c r="AA7" s="225" t="s">
        <v>3348</v>
      </c>
      <c r="AB7" s="225" t="s">
        <v>3349</v>
      </c>
      <c r="AC7" s="232" t="s">
        <v>3350</v>
      </c>
      <c r="AD7" s="709" t="s">
        <v>3337</v>
      </c>
      <c r="AE7" s="233" t="s">
        <v>3351</v>
      </c>
      <c r="AF7" s="233" t="s">
        <v>3352</v>
      </c>
      <c r="AG7" s="724" t="s">
        <v>3138</v>
      </c>
      <c r="AH7" s="230" t="s">
        <v>3353</v>
      </c>
      <c r="AI7" s="709" t="s">
        <v>3337</v>
      </c>
      <c r="AJ7" s="230" t="s">
        <v>3354</v>
      </c>
      <c r="AK7" s="709" t="s">
        <v>3337</v>
      </c>
      <c r="AL7" s="225" t="s">
        <v>3355</v>
      </c>
      <c r="AM7" s="707" t="s">
        <v>3138</v>
      </c>
      <c r="AN7" s="232" t="s">
        <v>3356</v>
      </c>
      <c r="AO7" s="225" t="s">
        <v>3357</v>
      </c>
      <c r="AP7" s="225" t="s">
        <v>3358</v>
      </c>
      <c r="AQ7" s="225" t="s">
        <v>3349</v>
      </c>
      <c r="AR7" s="225" t="s">
        <v>3359</v>
      </c>
      <c r="AS7" s="225" t="s">
        <v>3350</v>
      </c>
      <c r="AT7" s="709" t="s">
        <v>3138</v>
      </c>
      <c r="AU7" s="224" t="s">
        <v>3360</v>
      </c>
      <c r="AV7" s="707" t="s">
        <v>3138</v>
      </c>
      <c r="AW7" s="225" t="s">
        <v>3361</v>
      </c>
      <c r="AX7" s="225" t="s">
        <v>3362</v>
      </c>
      <c r="AY7" s="707" t="s">
        <v>3138</v>
      </c>
      <c r="AZ7" s="232" t="s">
        <v>3350</v>
      </c>
      <c r="BA7" s="712" t="s">
        <v>3138</v>
      </c>
      <c r="BB7" s="225" t="s">
        <v>3363</v>
      </c>
      <c r="BC7" s="707" t="s">
        <v>3138</v>
      </c>
      <c r="BD7" s="225" t="s">
        <v>3364</v>
      </c>
      <c r="BE7" s="707" t="s">
        <v>3138</v>
      </c>
      <c r="BF7" s="225" t="s">
        <v>3365</v>
      </c>
      <c r="BG7" s="234" t="s">
        <v>3366</v>
      </c>
      <c r="BH7" s="225" t="s">
        <v>3367</v>
      </c>
      <c r="BI7" s="707" t="s">
        <v>3138</v>
      </c>
      <c r="BJ7" s="225" t="s">
        <v>3368</v>
      </c>
      <c r="BK7" s="707" t="s">
        <v>3138</v>
      </c>
      <c r="BL7" s="721"/>
      <c r="BM7" s="721"/>
    </row>
    <row r="8" spans="1:66" ht="44.25">
      <c r="A8" s="736"/>
      <c r="B8" s="738"/>
      <c r="C8" s="235">
        <v>25</v>
      </c>
      <c r="D8" s="235">
        <v>45</v>
      </c>
      <c r="E8" s="235">
        <v>42</v>
      </c>
      <c r="F8" s="715"/>
      <c r="G8" s="236">
        <v>49</v>
      </c>
      <c r="H8" s="236">
        <v>12</v>
      </c>
      <c r="I8" s="236">
        <v>28</v>
      </c>
      <c r="J8" s="710"/>
      <c r="K8" s="236">
        <v>52.5</v>
      </c>
      <c r="L8" s="710"/>
      <c r="M8" s="236">
        <v>139.94</v>
      </c>
      <c r="N8" s="710"/>
      <c r="O8" s="236">
        <v>59</v>
      </c>
      <c r="P8" s="710"/>
      <c r="Q8" s="236">
        <v>10</v>
      </c>
      <c r="R8" s="236">
        <v>15</v>
      </c>
      <c r="S8" s="740"/>
      <c r="T8" s="237">
        <v>41.39</v>
      </c>
      <c r="U8" s="237">
        <v>117.65</v>
      </c>
      <c r="V8" s="236">
        <v>30.91</v>
      </c>
      <c r="W8" s="236">
        <v>35.17</v>
      </c>
      <c r="X8" s="236">
        <v>25.63</v>
      </c>
      <c r="Y8" s="236">
        <v>10</v>
      </c>
      <c r="Z8" s="708"/>
      <c r="AA8" s="238">
        <v>6.8</v>
      </c>
      <c r="AB8" s="236">
        <v>6.6</v>
      </c>
      <c r="AC8" s="239">
        <v>26</v>
      </c>
      <c r="AD8" s="710"/>
      <c r="AE8" s="239">
        <v>35.25</v>
      </c>
      <c r="AF8" s="239">
        <v>25.35</v>
      </c>
      <c r="AG8" s="724"/>
      <c r="AH8" s="236">
        <v>5.75</v>
      </c>
      <c r="AI8" s="710"/>
      <c r="AJ8" s="236">
        <v>20.39</v>
      </c>
      <c r="AK8" s="710"/>
      <c r="AL8" s="238">
        <v>61.61</v>
      </c>
      <c r="AM8" s="708"/>
      <c r="AN8" s="238">
        <v>31</v>
      </c>
      <c r="AO8" s="238">
        <v>386</v>
      </c>
      <c r="AP8" s="238">
        <v>7</v>
      </c>
      <c r="AQ8" s="238">
        <v>6.9</v>
      </c>
      <c r="AR8" s="238">
        <v>15.37</v>
      </c>
      <c r="AS8" s="238">
        <v>7.5</v>
      </c>
      <c r="AT8" s="710"/>
      <c r="AU8" s="238">
        <v>1.27</v>
      </c>
      <c r="AV8" s="711"/>
      <c r="AW8" s="238">
        <v>2.2599999999999998</v>
      </c>
      <c r="AX8" s="238">
        <v>2.2000000000000002</v>
      </c>
      <c r="AY8" s="708"/>
      <c r="AZ8" s="239">
        <v>22</v>
      </c>
      <c r="BA8" s="713"/>
      <c r="BB8" s="238">
        <v>28.65</v>
      </c>
      <c r="BC8" s="711"/>
      <c r="BD8" s="238">
        <v>34.049999999999997</v>
      </c>
      <c r="BE8" s="708"/>
      <c r="BF8" s="238">
        <v>9.23</v>
      </c>
      <c r="BG8" s="238">
        <v>13.38</v>
      </c>
      <c r="BH8" s="238">
        <v>6.57</v>
      </c>
      <c r="BI8" s="708"/>
      <c r="BJ8" s="238">
        <v>13.6</v>
      </c>
      <c r="BK8" s="708"/>
      <c r="BL8" s="721"/>
      <c r="BM8" s="722"/>
    </row>
    <row r="9" spans="1:66" ht="12.75">
      <c r="A9" s="240" t="s">
        <v>3369</v>
      </c>
      <c r="B9" s="241">
        <v>6</v>
      </c>
      <c r="C9" s="242"/>
      <c r="D9" s="242">
        <v>4</v>
      </c>
      <c r="E9" s="242"/>
      <c r="F9" s="243">
        <f t="shared" ref="F9:F40" si="0">($C$8*C9+$D$8*D9+$E$8*E9)*B9</f>
        <v>1080</v>
      </c>
      <c r="G9" s="244"/>
      <c r="H9" s="244"/>
      <c r="I9" s="244">
        <v>6</v>
      </c>
      <c r="J9" s="245">
        <f t="shared" ref="J9:J38" si="1">($G$8*G9+$H$8*H9+$I$8*I9)*B9</f>
        <v>1008</v>
      </c>
      <c r="K9" s="246"/>
      <c r="L9" s="245">
        <f t="shared" ref="L9:L40" si="2">($K$8*K9)*B9</f>
        <v>0</v>
      </c>
      <c r="M9" s="244"/>
      <c r="N9" s="247">
        <f t="shared" ref="N9:N40" si="3">($M$8*M9)*B9</f>
        <v>0</v>
      </c>
      <c r="O9" s="248"/>
      <c r="P9" s="247">
        <f t="shared" ref="P9:P40" si="4">$O$8*O9*B9</f>
        <v>0</v>
      </c>
      <c r="Q9" s="244"/>
      <c r="R9" s="244"/>
      <c r="S9" s="245">
        <f t="shared" ref="S9:S40" si="5">($Q$8*Q9+$R$8*R9)*B9</f>
        <v>0</v>
      </c>
      <c r="T9" s="249"/>
      <c r="U9" s="250"/>
      <c r="V9" s="242"/>
      <c r="W9" s="242"/>
      <c r="X9" s="242">
        <v>2</v>
      </c>
      <c r="Y9" s="242"/>
      <c r="Z9" s="245">
        <f t="shared" ref="Z9:Z40" si="6">($T$8*T9+$U$8*U9+$V$8*V9+$W$8*W9+$X$8*X9+$Y$8*Y9)*B9</f>
        <v>307.56</v>
      </c>
      <c r="AA9" s="249"/>
      <c r="AB9" s="244"/>
      <c r="AC9" s="244"/>
      <c r="AD9" s="245">
        <f t="shared" ref="AD9:AD40" si="7">($AA$8*AA9+$AB$8*AB9+$AC$8*AC9)*B9</f>
        <v>0</v>
      </c>
      <c r="AE9" s="244"/>
      <c r="AF9" s="244"/>
      <c r="AG9" s="245">
        <f t="shared" ref="AG9:AG40" si="8">($AE$8*AE9+$AF$8*AF9)*B9</f>
        <v>0</v>
      </c>
      <c r="AH9" s="251"/>
      <c r="AI9" s="247">
        <f t="shared" ref="AI9:AI40" si="9">$AH$8*AH9*B9</f>
        <v>0</v>
      </c>
      <c r="AJ9" s="244"/>
      <c r="AK9" s="247">
        <f t="shared" ref="AK9:AK40" si="10">($AJ$8*AJ9)*B9</f>
        <v>0</v>
      </c>
      <c r="AL9" s="249"/>
      <c r="AM9" s="247">
        <f t="shared" ref="AM9:AM40" si="11">$AL$8*AL9*B9</f>
        <v>0</v>
      </c>
      <c r="AN9" s="249"/>
      <c r="AO9" s="242"/>
      <c r="AP9" s="242"/>
      <c r="AQ9" s="242"/>
      <c r="AR9" s="242"/>
      <c r="AS9" s="242"/>
      <c r="AT9" s="245">
        <f t="shared" ref="AT9:AT40" si="12">($AN$8*AN9+$AO$8*AO9+$AP$8*AP9+$AQ$8*AQ9+$AR$8*AR9+$AS$8*AS9)*B9</f>
        <v>0</v>
      </c>
      <c r="AU9" s="244"/>
      <c r="AV9" s="247">
        <f t="shared" ref="AV9:AV40" si="13">$AU$8*AU9*B9</f>
        <v>0</v>
      </c>
      <c r="AW9" s="242"/>
      <c r="AX9" s="242"/>
      <c r="AY9" s="245">
        <f t="shared" ref="AY9:AY40" si="14">($AW$8*AW9+$AX$8*AX9)*B9</f>
        <v>0</v>
      </c>
      <c r="AZ9" s="242"/>
      <c r="BA9" s="247">
        <f t="shared" ref="BA9:BA40" si="15">$AZ$8*AZ9*B9</f>
        <v>0</v>
      </c>
      <c r="BB9" s="244"/>
      <c r="BC9" s="247">
        <f t="shared" ref="BC9:BC40" si="16">$BB$8*BB9*B9</f>
        <v>0</v>
      </c>
      <c r="BD9" s="242"/>
      <c r="BE9" s="247">
        <f t="shared" ref="BE9:BE40" si="17">$BD$8*BD9*B9</f>
        <v>0</v>
      </c>
      <c r="BF9" s="249"/>
      <c r="BG9" s="244"/>
      <c r="BH9" s="242"/>
      <c r="BI9" s="247">
        <f t="shared" ref="BI9:BI40" si="18">($BF$8*BF9+$BG$8*BG9+$BH$8*BH9)*B9</f>
        <v>0</v>
      </c>
      <c r="BJ9" s="248"/>
      <c r="BK9" s="247">
        <f t="shared" ref="BK9:BK40" si="19">$BJ$8*BJ9*B9</f>
        <v>0</v>
      </c>
      <c r="BL9" s="252">
        <f t="shared" ref="BL9:BL40" si="20">F9+J9+L9+N9+P9+S9+Z9+AD9+AG9+AI9+AK9+AM9+AT9+AV9+AY9+BA9+BC9+BE9+BI9+BK9</f>
        <v>2395.56</v>
      </c>
      <c r="BM9" s="253">
        <f t="shared" ref="BM9:BM40" si="21">BL9/12/B9</f>
        <v>33.271666666666668</v>
      </c>
      <c r="BN9" s="254"/>
    </row>
    <row r="10" spans="1:66" ht="12.75">
      <c r="A10" s="255" t="s">
        <v>3370</v>
      </c>
      <c r="B10" s="241">
        <v>2</v>
      </c>
      <c r="C10" s="242"/>
      <c r="D10" s="242"/>
      <c r="E10" s="242">
        <v>4</v>
      </c>
      <c r="F10" s="243">
        <f t="shared" si="0"/>
        <v>336</v>
      </c>
      <c r="G10" s="244">
        <v>6</v>
      </c>
      <c r="H10" s="244"/>
      <c r="I10" s="244"/>
      <c r="J10" s="245">
        <f t="shared" si="1"/>
        <v>588</v>
      </c>
      <c r="K10" s="246"/>
      <c r="L10" s="245">
        <f t="shared" si="2"/>
        <v>0</v>
      </c>
      <c r="M10" s="244">
        <v>2</v>
      </c>
      <c r="N10" s="247">
        <f>($M$8*M10)*B10</f>
        <v>559.76</v>
      </c>
      <c r="O10" s="248"/>
      <c r="P10" s="247">
        <f t="shared" si="4"/>
        <v>0</v>
      </c>
      <c r="Q10" s="244"/>
      <c r="R10" s="244"/>
      <c r="S10" s="245">
        <f t="shared" si="5"/>
        <v>0</v>
      </c>
      <c r="T10" s="249"/>
      <c r="U10" s="250">
        <v>2</v>
      </c>
      <c r="V10" s="242"/>
      <c r="W10" s="242"/>
      <c r="X10" s="242"/>
      <c r="Y10" s="242"/>
      <c r="Z10" s="245">
        <f>($T$8*T10+$U$8*U10+$V$8*V10+$W$8*W10+$X$8*X10+$Y$8*Y10)*B10</f>
        <v>470.6</v>
      </c>
      <c r="AA10" s="249"/>
      <c r="AB10" s="244"/>
      <c r="AC10" s="244"/>
      <c r="AD10" s="245">
        <f t="shared" si="7"/>
        <v>0</v>
      </c>
      <c r="AE10" s="244"/>
      <c r="AF10" s="244"/>
      <c r="AG10" s="245">
        <f t="shared" si="8"/>
        <v>0</v>
      </c>
      <c r="AH10" s="251"/>
      <c r="AI10" s="247">
        <f t="shared" si="9"/>
        <v>0</v>
      </c>
      <c r="AJ10" s="244"/>
      <c r="AK10" s="247">
        <f t="shared" si="10"/>
        <v>0</v>
      </c>
      <c r="AL10" s="249"/>
      <c r="AM10" s="247">
        <f t="shared" si="11"/>
        <v>0</v>
      </c>
      <c r="AN10" s="249"/>
      <c r="AO10" s="242"/>
      <c r="AP10" s="242"/>
      <c r="AQ10" s="242"/>
      <c r="AR10" s="242"/>
      <c r="AS10" s="242"/>
      <c r="AT10" s="245">
        <f t="shared" si="12"/>
        <v>0</v>
      </c>
      <c r="AU10" s="244"/>
      <c r="AV10" s="247">
        <f t="shared" si="13"/>
        <v>0</v>
      </c>
      <c r="AW10" s="242"/>
      <c r="AX10" s="242"/>
      <c r="AY10" s="245">
        <f t="shared" si="14"/>
        <v>0</v>
      </c>
      <c r="AZ10" s="242"/>
      <c r="BA10" s="247">
        <f t="shared" si="15"/>
        <v>0</v>
      </c>
      <c r="BB10" s="244"/>
      <c r="BC10" s="247">
        <f t="shared" si="16"/>
        <v>0</v>
      </c>
      <c r="BD10" s="242"/>
      <c r="BE10" s="247">
        <f t="shared" si="17"/>
        <v>0</v>
      </c>
      <c r="BF10" s="249"/>
      <c r="BG10" s="244"/>
      <c r="BH10" s="242"/>
      <c r="BI10" s="247">
        <f t="shared" si="18"/>
        <v>0</v>
      </c>
      <c r="BJ10" s="248"/>
      <c r="BK10" s="247">
        <f t="shared" si="19"/>
        <v>0</v>
      </c>
      <c r="BL10" s="252">
        <f t="shared" si="20"/>
        <v>1954.3600000000001</v>
      </c>
      <c r="BM10" s="253">
        <f t="shared" si="21"/>
        <v>81.431666666666672</v>
      </c>
      <c r="BN10" s="254"/>
    </row>
    <row r="11" spans="1:66" ht="12.75">
      <c r="A11" s="255" t="s">
        <v>3371</v>
      </c>
      <c r="B11" s="241">
        <v>28</v>
      </c>
      <c r="C11" s="242"/>
      <c r="D11" s="242">
        <v>4</v>
      </c>
      <c r="E11" s="242"/>
      <c r="F11" s="243">
        <f>($C$8*C11+$D$8*D11+$E$8*E11)*B11</f>
        <v>5040</v>
      </c>
      <c r="G11" s="244"/>
      <c r="H11" s="244"/>
      <c r="I11" s="244">
        <v>6</v>
      </c>
      <c r="J11" s="245">
        <f>($G$8*G11+$H$8*H11+$I$8*I11)*B11</f>
        <v>4704</v>
      </c>
      <c r="K11" s="246"/>
      <c r="L11" s="245">
        <f t="shared" si="2"/>
        <v>0</v>
      </c>
      <c r="M11" s="244"/>
      <c r="N11" s="247">
        <f t="shared" si="3"/>
        <v>0</v>
      </c>
      <c r="O11" s="248"/>
      <c r="P11" s="247">
        <f t="shared" si="4"/>
        <v>0</v>
      </c>
      <c r="Q11" s="244"/>
      <c r="R11" s="244"/>
      <c r="S11" s="245">
        <f t="shared" si="5"/>
        <v>0</v>
      </c>
      <c r="T11" s="249">
        <v>2</v>
      </c>
      <c r="U11" s="250"/>
      <c r="V11" s="242"/>
      <c r="W11" s="242"/>
      <c r="X11" s="242"/>
      <c r="Y11" s="242"/>
      <c r="Z11" s="245">
        <f>($T$8*T11+$U$8*U11+$V$8*V11+$W$8*W11+$X$8*X11+$Y$8*Y11)*B11</f>
        <v>2317.84</v>
      </c>
      <c r="AA11" s="249"/>
      <c r="AB11" s="244"/>
      <c r="AC11" s="244"/>
      <c r="AD11" s="245">
        <f t="shared" si="7"/>
        <v>0</v>
      </c>
      <c r="AE11" s="244"/>
      <c r="AF11" s="244"/>
      <c r="AG11" s="245">
        <f t="shared" si="8"/>
        <v>0</v>
      </c>
      <c r="AH11" s="251"/>
      <c r="AI11" s="247">
        <f t="shared" si="9"/>
        <v>0</v>
      </c>
      <c r="AJ11" s="244"/>
      <c r="AK11" s="247">
        <f t="shared" si="10"/>
        <v>0</v>
      </c>
      <c r="AL11" s="249"/>
      <c r="AM11" s="247">
        <f t="shared" si="11"/>
        <v>0</v>
      </c>
      <c r="AN11" s="249"/>
      <c r="AO11" s="242"/>
      <c r="AP11" s="242"/>
      <c r="AQ11" s="242"/>
      <c r="AR11" s="242"/>
      <c r="AS11" s="242"/>
      <c r="AT11" s="245">
        <f t="shared" si="12"/>
        <v>0</v>
      </c>
      <c r="AU11" s="244"/>
      <c r="AV11" s="247">
        <f t="shared" si="13"/>
        <v>0</v>
      </c>
      <c r="AW11" s="242"/>
      <c r="AX11" s="242"/>
      <c r="AY11" s="245">
        <f t="shared" si="14"/>
        <v>0</v>
      </c>
      <c r="AZ11" s="242"/>
      <c r="BA11" s="247">
        <f t="shared" si="15"/>
        <v>0</v>
      </c>
      <c r="BB11" s="244"/>
      <c r="BC11" s="247">
        <f t="shared" si="16"/>
        <v>0</v>
      </c>
      <c r="BD11" s="242"/>
      <c r="BE11" s="247">
        <f t="shared" si="17"/>
        <v>0</v>
      </c>
      <c r="BF11" s="249"/>
      <c r="BG11" s="244"/>
      <c r="BH11" s="242"/>
      <c r="BI11" s="247">
        <f t="shared" si="18"/>
        <v>0</v>
      </c>
      <c r="BJ11" s="248"/>
      <c r="BK11" s="247">
        <f t="shared" si="19"/>
        <v>0</v>
      </c>
      <c r="BL11" s="252">
        <f t="shared" si="20"/>
        <v>12061.84</v>
      </c>
      <c r="BM11" s="253">
        <f t="shared" si="21"/>
        <v>35.898333333333333</v>
      </c>
      <c r="BN11" s="254"/>
    </row>
    <row r="12" spans="1:66" ht="12.75">
      <c r="A12" s="255" t="s">
        <v>3372</v>
      </c>
      <c r="B12" s="241">
        <v>12</v>
      </c>
      <c r="C12" s="242"/>
      <c r="D12" s="242">
        <v>4</v>
      </c>
      <c r="E12" s="242"/>
      <c r="F12" s="243">
        <f t="shared" si="0"/>
        <v>2160</v>
      </c>
      <c r="G12" s="244"/>
      <c r="H12" s="244"/>
      <c r="I12" s="244">
        <v>6</v>
      </c>
      <c r="J12" s="245">
        <f t="shared" si="1"/>
        <v>2016</v>
      </c>
      <c r="K12" s="246"/>
      <c r="L12" s="245">
        <f t="shared" si="2"/>
        <v>0</v>
      </c>
      <c r="M12" s="244"/>
      <c r="N12" s="247">
        <f t="shared" si="3"/>
        <v>0</v>
      </c>
      <c r="O12" s="248"/>
      <c r="P12" s="247">
        <f t="shared" si="4"/>
        <v>0</v>
      </c>
      <c r="Q12" s="244"/>
      <c r="R12" s="244"/>
      <c r="S12" s="245">
        <f t="shared" si="5"/>
        <v>0</v>
      </c>
      <c r="T12" s="249">
        <v>2</v>
      </c>
      <c r="U12" s="250"/>
      <c r="V12" s="242"/>
      <c r="W12" s="242"/>
      <c r="X12" s="242"/>
      <c r="Y12" s="242"/>
      <c r="Z12" s="245">
        <f>($T$8*T12+$U$8*U12+$V$8*V12+$W$8*W12+$X$8*X12+$Y$8*Y12)*B12</f>
        <v>993.36</v>
      </c>
      <c r="AA12" s="249"/>
      <c r="AB12" s="244"/>
      <c r="AC12" s="244"/>
      <c r="AD12" s="245">
        <f t="shared" si="7"/>
        <v>0</v>
      </c>
      <c r="AE12" s="244"/>
      <c r="AF12" s="244">
        <v>1</v>
      </c>
      <c r="AG12" s="245">
        <f t="shared" si="8"/>
        <v>304.20000000000005</v>
      </c>
      <c r="AH12" s="251"/>
      <c r="AI12" s="247">
        <f t="shared" si="9"/>
        <v>0</v>
      </c>
      <c r="AJ12" s="244"/>
      <c r="AK12" s="247">
        <f t="shared" si="10"/>
        <v>0</v>
      </c>
      <c r="AL12" s="249"/>
      <c r="AM12" s="247">
        <f t="shared" si="11"/>
        <v>0</v>
      </c>
      <c r="AN12" s="249"/>
      <c r="AO12" s="242"/>
      <c r="AP12" s="242"/>
      <c r="AQ12" s="242"/>
      <c r="AR12" s="242"/>
      <c r="AS12" s="242"/>
      <c r="AT12" s="245">
        <f t="shared" si="12"/>
        <v>0</v>
      </c>
      <c r="AU12" s="244"/>
      <c r="AV12" s="247">
        <f t="shared" si="13"/>
        <v>0</v>
      </c>
      <c r="AW12" s="242"/>
      <c r="AX12" s="242"/>
      <c r="AY12" s="245">
        <f t="shared" si="14"/>
        <v>0</v>
      </c>
      <c r="AZ12" s="242"/>
      <c r="BA12" s="247">
        <f t="shared" si="15"/>
        <v>0</v>
      </c>
      <c r="BB12" s="244"/>
      <c r="BC12" s="247">
        <f t="shared" si="16"/>
        <v>0</v>
      </c>
      <c r="BD12" s="242"/>
      <c r="BE12" s="247">
        <f t="shared" si="17"/>
        <v>0</v>
      </c>
      <c r="BF12" s="249"/>
      <c r="BG12" s="244"/>
      <c r="BH12" s="242"/>
      <c r="BI12" s="247">
        <f t="shared" si="18"/>
        <v>0</v>
      </c>
      <c r="BJ12" s="248"/>
      <c r="BK12" s="247">
        <f t="shared" si="19"/>
        <v>0</v>
      </c>
      <c r="BL12" s="252">
        <f t="shared" si="20"/>
        <v>5473.5599999999995</v>
      </c>
      <c r="BM12" s="253">
        <f t="shared" si="21"/>
        <v>38.010833333333331</v>
      </c>
      <c r="BN12" s="254"/>
    </row>
    <row r="13" spans="1:66" ht="12.75">
      <c r="A13" s="255" t="s">
        <v>3373</v>
      </c>
      <c r="B13" s="256">
        <v>10</v>
      </c>
      <c r="C13" s="242">
        <v>4</v>
      </c>
      <c r="D13" s="242"/>
      <c r="E13" s="242"/>
      <c r="F13" s="243">
        <f>($C$8*C13+$D$8*D13+$E$8*E13)*B13</f>
        <v>1000</v>
      </c>
      <c r="G13" s="242"/>
      <c r="H13" s="244">
        <v>8</v>
      </c>
      <c r="I13" s="244"/>
      <c r="J13" s="245">
        <f t="shared" si="1"/>
        <v>960</v>
      </c>
      <c r="K13" s="257"/>
      <c r="L13" s="245">
        <f t="shared" si="2"/>
        <v>0</v>
      </c>
      <c r="M13" s="244"/>
      <c r="N13" s="247">
        <f t="shared" si="3"/>
        <v>0</v>
      </c>
      <c r="O13" s="258"/>
      <c r="P13" s="247">
        <f t="shared" si="4"/>
        <v>0</v>
      </c>
      <c r="Q13" s="244"/>
      <c r="R13" s="244"/>
      <c r="S13" s="245">
        <f t="shared" si="5"/>
        <v>0</v>
      </c>
      <c r="T13" s="249"/>
      <c r="U13" s="250"/>
      <c r="V13" s="242">
        <v>2</v>
      </c>
      <c r="W13" s="242"/>
      <c r="X13" s="242">
        <v>2</v>
      </c>
      <c r="Y13" s="242"/>
      <c r="Z13" s="245">
        <f>($T$8*T13+$U$8*U13+$V$8*V13+$W$8*W13+$X$8*X13+$Y$8*Y13)*B13</f>
        <v>1130.8</v>
      </c>
      <c r="AA13" s="249"/>
      <c r="AB13" s="244"/>
      <c r="AC13" s="244"/>
      <c r="AD13" s="245">
        <f t="shared" si="7"/>
        <v>0</v>
      </c>
      <c r="AE13" s="244">
        <v>4</v>
      </c>
      <c r="AF13" s="244"/>
      <c r="AG13" s="245">
        <f t="shared" si="8"/>
        <v>1410</v>
      </c>
      <c r="AH13" s="251"/>
      <c r="AI13" s="247">
        <f t="shared" si="9"/>
        <v>0</v>
      </c>
      <c r="AJ13" s="244"/>
      <c r="AK13" s="247">
        <f t="shared" si="10"/>
        <v>0</v>
      </c>
      <c r="AL13" s="251"/>
      <c r="AM13" s="247">
        <f t="shared" si="11"/>
        <v>0</v>
      </c>
      <c r="AN13" s="249"/>
      <c r="AO13" s="242"/>
      <c r="AP13" s="242"/>
      <c r="AQ13" s="242">
        <v>4</v>
      </c>
      <c r="AR13" s="242"/>
      <c r="AS13" s="242">
        <v>4</v>
      </c>
      <c r="AT13" s="245">
        <f>($AN$8*AN13+$AO$8*AO13+$AP$8*AP13+$AQ$8*AQ13+$AR$8*AR13+$AS$8*AS13)*B13</f>
        <v>576</v>
      </c>
      <c r="AU13" s="244"/>
      <c r="AV13" s="247">
        <f t="shared" si="13"/>
        <v>0</v>
      </c>
      <c r="AW13" s="242"/>
      <c r="AX13" s="242">
        <v>20</v>
      </c>
      <c r="AY13" s="245">
        <f>($AW$8*AW13+$AX$8*AX13)*B13</f>
        <v>440</v>
      </c>
      <c r="AZ13" s="242"/>
      <c r="BA13" s="247">
        <f t="shared" si="15"/>
        <v>0</v>
      </c>
      <c r="BB13" s="244"/>
      <c r="BC13" s="247">
        <f t="shared" si="16"/>
        <v>0</v>
      </c>
      <c r="BD13" s="242"/>
      <c r="BE13" s="247">
        <f t="shared" si="17"/>
        <v>0</v>
      </c>
      <c r="BF13" s="249">
        <v>2</v>
      </c>
      <c r="BG13" s="244"/>
      <c r="BH13" s="242"/>
      <c r="BI13" s="247">
        <f t="shared" si="18"/>
        <v>184.60000000000002</v>
      </c>
      <c r="BJ13" s="250"/>
      <c r="BK13" s="247">
        <f t="shared" si="19"/>
        <v>0</v>
      </c>
      <c r="BL13" s="252">
        <f t="shared" si="20"/>
        <v>5701.4000000000005</v>
      </c>
      <c r="BM13" s="253">
        <f t="shared" si="21"/>
        <v>47.51166666666667</v>
      </c>
      <c r="BN13" s="254"/>
    </row>
    <row r="14" spans="1:66" ht="12.75">
      <c r="A14" s="255" t="s">
        <v>3374</v>
      </c>
      <c r="B14" s="256">
        <v>3</v>
      </c>
      <c r="C14" s="242">
        <v>4</v>
      </c>
      <c r="D14" s="242"/>
      <c r="E14" s="242"/>
      <c r="F14" s="243">
        <f>($C$8*C14+$D$8*D14+$E$8*E14)*B14</f>
        <v>300</v>
      </c>
      <c r="G14" s="242"/>
      <c r="H14" s="244">
        <v>8</v>
      </c>
      <c r="I14" s="244"/>
      <c r="J14" s="245">
        <f>($G$8*G14+$H$8*H14+$I$8*I14)*B14</f>
        <v>288</v>
      </c>
      <c r="K14" s="257"/>
      <c r="L14" s="245">
        <f t="shared" si="2"/>
        <v>0</v>
      </c>
      <c r="M14" s="244"/>
      <c r="N14" s="247">
        <f t="shared" si="3"/>
        <v>0</v>
      </c>
      <c r="O14" s="258"/>
      <c r="P14" s="247">
        <f t="shared" si="4"/>
        <v>0</v>
      </c>
      <c r="Q14" s="244"/>
      <c r="R14" s="244"/>
      <c r="S14" s="245">
        <f t="shared" si="5"/>
        <v>0</v>
      </c>
      <c r="T14" s="249"/>
      <c r="U14" s="250"/>
      <c r="V14" s="242">
        <v>2</v>
      </c>
      <c r="W14" s="242"/>
      <c r="X14" s="242">
        <v>2</v>
      </c>
      <c r="Y14" s="242"/>
      <c r="Z14" s="245">
        <f>($T$8*T14+$U$8*U14+$V$8*V14+$W$8*W14+$X$8*X14+$Y$8*Y14)*B14</f>
        <v>339.24</v>
      </c>
      <c r="AA14" s="249"/>
      <c r="AB14" s="244"/>
      <c r="AC14" s="244"/>
      <c r="AD14" s="245">
        <f t="shared" si="7"/>
        <v>0</v>
      </c>
      <c r="AE14" s="244">
        <v>4</v>
      </c>
      <c r="AF14" s="244"/>
      <c r="AG14" s="245">
        <f t="shared" si="8"/>
        <v>423</v>
      </c>
      <c r="AH14" s="251"/>
      <c r="AI14" s="247">
        <f t="shared" si="9"/>
        <v>0</v>
      </c>
      <c r="AJ14" s="244"/>
      <c r="AK14" s="247">
        <f t="shared" si="10"/>
        <v>0</v>
      </c>
      <c r="AL14" s="251"/>
      <c r="AM14" s="247">
        <f t="shared" si="11"/>
        <v>0</v>
      </c>
      <c r="AN14" s="249"/>
      <c r="AO14" s="242"/>
      <c r="AP14" s="242"/>
      <c r="AQ14" s="242">
        <v>4</v>
      </c>
      <c r="AR14" s="242">
        <v>4</v>
      </c>
      <c r="AS14" s="242"/>
      <c r="AT14" s="245">
        <f t="shared" si="12"/>
        <v>267.24</v>
      </c>
      <c r="AU14" s="244"/>
      <c r="AV14" s="247">
        <f t="shared" si="13"/>
        <v>0</v>
      </c>
      <c r="AW14" s="242"/>
      <c r="AX14" s="242">
        <v>20</v>
      </c>
      <c r="AY14" s="245">
        <f t="shared" si="14"/>
        <v>132</v>
      </c>
      <c r="AZ14" s="242"/>
      <c r="BA14" s="247">
        <f t="shared" si="15"/>
        <v>0</v>
      </c>
      <c r="BB14" s="244"/>
      <c r="BC14" s="247">
        <f t="shared" si="16"/>
        <v>0</v>
      </c>
      <c r="BD14" s="242"/>
      <c r="BE14" s="247">
        <f t="shared" si="17"/>
        <v>0</v>
      </c>
      <c r="BF14" s="249">
        <v>2</v>
      </c>
      <c r="BG14" s="244"/>
      <c r="BH14" s="242"/>
      <c r="BI14" s="247">
        <f t="shared" si="18"/>
        <v>55.38</v>
      </c>
      <c r="BJ14" s="250"/>
      <c r="BK14" s="247">
        <f t="shared" si="19"/>
        <v>0</v>
      </c>
      <c r="BL14" s="252">
        <f t="shared" si="20"/>
        <v>1804.8600000000001</v>
      </c>
      <c r="BM14" s="253">
        <f t="shared" si="21"/>
        <v>50.134999999999998</v>
      </c>
      <c r="BN14" s="254"/>
    </row>
    <row r="15" spans="1:66" ht="12.75">
      <c r="A15" s="255" t="s">
        <v>3375</v>
      </c>
      <c r="B15" s="259">
        <v>12</v>
      </c>
      <c r="C15" s="242">
        <v>4</v>
      </c>
      <c r="D15" s="242"/>
      <c r="E15" s="242"/>
      <c r="F15" s="243">
        <f t="shared" si="0"/>
        <v>1200</v>
      </c>
      <c r="G15" s="244"/>
      <c r="H15" s="244">
        <v>8</v>
      </c>
      <c r="I15" s="244"/>
      <c r="J15" s="245">
        <f t="shared" si="1"/>
        <v>1152</v>
      </c>
      <c r="K15" s="246"/>
      <c r="L15" s="245">
        <f t="shared" si="2"/>
        <v>0</v>
      </c>
      <c r="M15" s="244"/>
      <c r="N15" s="247">
        <f t="shared" si="3"/>
        <v>0</v>
      </c>
      <c r="O15" s="248"/>
      <c r="P15" s="247">
        <f t="shared" si="4"/>
        <v>0</v>
      </c>
      <c r="Q15" s="244"/>
      <c r="R15" s="244"/>
      <c r="S15" s="245">
        <f t="shared" si="5"/>
        <v>0</v>
      </c>
      <c r="T15" s="249"/>
      <c r="U15" s="250"/>
      <c r="V15" s="242"/>
      <c r="W15" s="242">
        <v>2</v>
      </c>
      <c r="X15" s="242"/>
      <c r="Y15" s="242"/>
      <c r="Z15" s="245">
        <f t="shared" si="6"/>
        <v>844.08</v>
      </c>
      <c r="AA15" s="249"/>
      <c r="AB15" s="244"/>
      <c r="AC15" s="244"/>
      <c r="AD15" s="245">
        <f t="shared" si="7"/>
        <v>0</v>
      </c>
      <c r="AE15" s="244"/>
      <c r="AF15" s="244"/>
      <c r="AG15" s="245">
        <f t="shared" si="8"/>
        <v>0</v>
      </c>
      <c r="AH15" s="251"/>
      <c r="AI15" s="247">
        <f t="shared" si="9"/>
        <v>0</v>
      </c>
      <c r="AJ15" s="244"/>
      <c r="AK15" s="247">
        <f t="shared" si="10"/>
        <v>0</v>
      </c>
      <c r="AL15" s="249">
        <v>1</v>
      </c>
      <c r="AM15" s="247">
        <f>$AL$8*AL15*B15</f>
        <v>739.31999999999994</v>
      </c>
      <c r="AN15" s="249"/>
      <c r="AO15" s="242"/>
      <c r="AP15" s="242"/>
      <c r="AQ15" s="242"/>
      <c r="AR15" s="242">
        <v>6</v>
      </c>
      <c r="AS15" s="242"/>
      <c r="AT15" s="245">
        <f>($AN$8*AN15+$AO$8*AO15+$AP$8*AP15+$AQ$8*AQ15+$AR$8*AR15+$AS$8*AS15)*B15</f>
        <v>1106.6399999999999</v>
      </c>
      <c r="AU15" s="244"/>
      <c r="AV15" s="247">
        <f t="shared" si="13"/>
        <v>0</v>
      </c>
      <c r="AW15" s="242"/>
      <c r="AX15" s="242"/>
      <c r="AY15" s="245">
        <f t="shared" si="14"/>
        <v>0</v>
      </c>
      <c r="AZ15" s="242"/>
      <c r="BA15" s="247">
        <f t="shared" si="15"/>
        <v>0</v>
      </c>
      <c r="BB15" s="244"/>
      <c r="BC15" s="247">
        <f t="shared" si="16"/>
        <v>0</v>
      </c>
      <c r="BD15" s="242"/>
      <c r="BE15" s="247">
        <f t="shared" si="17"/>
        <v>0</v>
      </c>
      <c r="BF15" s="249"/>
      <c r="BG15" s="244"/>
      <c r="BH15" s="242"/>
      <c r="BI15" s="247">
        <f t="shared" si="18"/>
        <v>0</v>
      </c>
      <c r="BJ15" s="248"/>
      <c r="BK15" s="247">
        <f t="shared" si="19"/>
        <v>0</v>
      </c>
      <c r="BL15" s="252">
        <f t="shared" si="20"/>
        <v>5042.0399999999991</v>
      </c>
      <c r="BM15" s="253">
        <f t="shared" si="21"/>
        <v>35.014166666666661</v>
      </c>
      <c r="BN15" s="254"/>
    </row>
    <row r="16" spans="1:66" ht="12.75">
      <c r="A16" s="260" t="s">
        <v>3376</v>
      </c>
      <c r="B16" s="261">
        <v>16</v>
      </c>
      <c r="C16" s="242"/>
      <c r="D16" s="242">
        <v>4</v>
      </c>
      <c r="E16" s="242"/>
      <c r="F16" s="243">
        <f t="shared" si="0"/>
        <v>2880</v>
      </c>
      <c r="G16" s="244"/>
      <c r="H16" s="244"/>
      <c r="I16" s="244">
        <v>6</v>
      </c>
      <c r="J16" s="245">
        <f t="shared" si="1"/>
        <v>2688</v>
      </c>
      <c r="K16" s="246"/>
      <c r="L16" s="245">
        <f t="shared" si="2"/>
        <v>0</v>
      </c>
      <c r="M16" s="244"/>
      <c r="N16" s="247">
        <f t="shared" si="3"/>
        <v>0</v>
      </c>
      <c r="O16" s="248"/>
      <c r="P16" s="247">
        <f t="shared" si="4"/>
        <v>0</v>
      </c>
      <c r="Q16" s="244"/>
      <c r="R16" s="244"/>
      <c r="S16" s="245">
        <f t="shared" si="5"/>
        <v>0</v>
      </c>
      <c r="T16" s="249"/>
      <c r="U16" s="250"/>
      <c r="V16" s="242"/>
      <c r="W16" s="242"/>
      <c r="X16" s="242"/>
      <c r="Y16" s="242">
        <v>2</v>
      </c>
      <c r="Z16" s="245">
        <f t="shared" si="6"/>
        <v>320</v>
      </c>
      <c r="AA16" s="249"/>
      <c r="AB16" s="244"/>
      <c r="AC16" s="244"/>
      <c r="AD16" s="245">
        <f t="shared" si="7"/>
        <v>0</v>
      </c>
      <c r="AE16" s="244"/>
      <c r="AF16" s="244"/>
      <c r="AG16" s="245">
        <f t="shared" si="8"/>
        <v>0</v>
      </c>
      <c r="AH16" s="251"/>
      <c r="AI16" s="247">
        <f t="shared" si="9"/>
        <v>0</v>
      </c>
      <c r="AJ16" s="244"/>
      <c r="AK16" s="247">
        <f t="shared" si="10"/>
        <v>0</v>
      </c>
      <c r="AL16" s="249"/>
      <c r="AM16" s="247">
        <f t="shared" si="11"/>
        <v>0</v>
      </c>
      <c r="AN16" s="249"/>
      <c r="AO16" s="242"/>
      <c r="AP16" s="242"/>
      <c r="AQ16" s="242"/>
      <c r="AR16" s="242"/>
      <c r="AS16" s="242"/>
      <c r="AT16" s="245">
        <f t="shared" si="12"/>
        <v>0</v>
      </c>
      <c r="AU16" s="244"/>
      <c r="AV16" s="247">
        <f t="shared" si="13"/>
        <v>0</v>
      </c>
      <c r="AW16" s="242"/>
      <c r="AX16" s="242"/>
      <c r="AY16" s="245">
        <f t="shared" si="14"/>
        <v>0</v>
      </c>
      <c r="AZ16" s="242"/>
      <c r="BA16" s="247">
        <f t="shared" si="15"/>
        <v>0</v>
      </c>
      <c r="BB16" s="244"/>
      <c r="BC16" s="247">
        <f t="shared" si="16"/>
        <v>0</v>
      </c>
      <c r="BD16" s="242"/>
      <c r="BE16" s="247">
        <f t="shared" si="17"/>
        <v>0</v>
      </c>
      <c r="BF16" s="249"/>
      <c r="BG16" s="244"/>
      <c r="BH16" s="242"/>
      <c r="BI16" s="247">
        <f t="shared" si="18"/>
        <v>0</v>
      </c>
      <c r="BJ16" s="248"/>
      <c r="BK16" s="247">
        <f t="shared" si="19"/>
        <v>0</v>
      </c>
      <c r="BL16" s="252">
        <f t="shared" si="20"/>
        <v>5888</v>
      </c>
      <c r="BM16" s="253">
        <f t="shared" si="21"/>
        <v>30.666666666666668</v>
      </c>
      <c r="BN16" s="254"/>
    </row>
    <row r="17" spans="1:66" ht="12.75">
      <c r="A17" s="255" t="s">
        <v>3377</v>
      </c>
      <c r="B17" s="241">
        <v>14</v>
      </c>
      <c r="C17" s="242">
        <v>4</v>
      </c>
      <c r="D17" s="242"/>
      <c r="E17" s="242"/>
      <c r="F17" s="243">
        <f t="shared" si="0"/>
        <v>1400</v>
      </c>
      <c r="G17" s="244"/>
      <c r="H17" s="244">
        <v>8</v>
      </c>
      <c r="I17" s="244"/>
      <c r="J17" s="245">
        <f>($G$8*G17+$H$8*H17+$I$8*I17)*B17</f>
        <v>1344</v>
      </c>
      <c r="K17" s="246"/>
      <c r="L17" s="245">
        <f t="shared" si="2"/>
        <v>0</v>
      </c>
      <c r="M17" s="244"/>
      <c r="N17" s="247">
        <f t="shared" si="3"/>
        <v>0</v>
      </c>
      <c r="O17" s="248"/>
      <c r="P17" s="247">
        <f t="shared" si="4"/>
        <v>0</v>
      </c>
      <c r="Q17" s="244"/>
      <c r="R17" s="244"/>
      <c r="S17" s="245">
        <f t="shared" si="5"/>
        <v>0</v>
      </c>
      <c r="T17" s="249">
        <v>2</v>
      </c>
      <c r="U17" s="250"/>
      <c r="V17" s="242"/>
      <c r="W17" s="242"/>
      <c r="X17" s="242"/>
      <c r="Y17" s="242"/>
      <c r="Z17" s="245">
        <f t="shared" si="6"/>
        <v>1158.92</v>
      </c>
      <c r="AA17" s="249">
        <v>4</v>
      </c>
      <c r="AB17" s="244"/>
      <c r="AC17" s="244"/>
      <c r="AD17" s="245">
        <f>($AA$8*AA17+$AB$8*AB17+$AC$8*AC17)*B17</f>
        <v>380.8</v>
      </c>
      <c r="AE17" s="244"/>
      <c r="AF17" s="244"/>
      <c r="AG17" s="245">
        <f t="shared" si="8"/>
        <v>0</v>
      </c>
      <c r="AH17" s="251"/>
      <c r="AI17" s="247">
        <f t="shared" si="9"/>
        <v>0</v>
      </c>
      <c r="AJ17" s="244"/>
      <c r="AK17" s="247">
        <f t="shared" si="10"/>
        <v>0</v>
      </c>
      <c r="AL17" s="249"/>
      <c r="AM17" s="247">
        <f t="shared" si="11"/>
        <v>0</v>
      </c>
      <c r="AN17" s="249"/>
      <c r="AO17" s="242"/>
      <c r="AP17" s="242">
        <v>24</v>
      </c>
      <c r="AQ17" s="242"/>
      <c r="AR17" s="242"/>
      <c r="AS17" s="242"/>
      <c r="AT17" s="245">
        <f>($AN$8*AN17+$AO$8*AO17+$AP$8*AP17+$AQ$8*AQ17+$AR$8*AR17+$AS$8*AS17)*B17</f>
        <v>2352</v>
      </c>
      <c r="AU17" s="244"/>
      <c r="AV17" s="247">
        <f t="shared" si="13"/>
        <v>0</v>
      </c>
      <c r="AW17" s="242"/>
      <c r="AX17" s="242"/>
      <c r="AY17" s="245">
        <f t="shared" si="14"/>
        <v>0</v>
      </c>
      <c r="AZ17" s="242"/>
      <c r="BA17" s="247">
        <f t="shared" si="15"/>
        <v>0</v>
      </c>
      <c r="BB17" s="244"/>
      <c r="BC17" s="247">
        <f t="shared" si="16"/>
        <v>0</v>
      </c>
      <c r="BD17" s="242"/>
      <c r="BE17" s="247">
        <f t="shared" si="17"/>
        <v>0</v>
      </c>
      <c r="BF17" s="249"/>
      <c r="BG17" s="244"/>
      <c r="BH17" s="242"/>
      <c r="BI17" s="247">
        <f t="shared" si="18"/>
        <v>0</v>
      </c>
      <c r="BJ17" s="248">
        <v>4</v>
      </c>
      <c r="BK17" s="247">
        <f t="shared" si="19"/>
        <v>761.6</v>
      </c>
      <c r="BL17" s="252">
        <f t="shared" si="20"/>
        <v>7397.3200000000006</v>
      </c>
      <c r="BM17" s="253">
        <f t="shared" si="21"/>
        <v>44.031666666666673</v>
      </c>
      <c r="BN17" s="254"/>
    </row>
    <row r="18" spans="1:66" ht="12.75">
      <c r="A18" s="255" t="s">
        <v>3378</v>
      </c>
      <c r="B18" s="256">
        <v>2</v>
      </c>
      <c r="C18" s="242">
        <v>4</v>
      </c>
      <c r="D18" s="242"/>
      <c r="E18" s="242"/>
      <c r="F18" s="243">
        <f>($C$8*C18+$D$8*D18+$E$8*E18)*B18</f>
        <v>200</v>
      </c>
      <c r="G18" s="244"/>
      <c r="H18" s="244">
        <v>8</v>
      </c>
      <c r="I18" s="244"/>
      <c r="J18" s="245">
        <f>($G$8*G18+$H$8*H18+$I$8*I18)*B18</f>
        <v>192</v>
      </c>
      <c r="K18" s="246"/>
      <c r="L18" s="245">
        <f t="shared" si="2"/>
        <v>0</v>
      </c>
      <c r="M18" s="244"/>
      <c r="N18" s="247">
        <f t="shared" si="3"/>
        <v>0</v>
      </c>
      <c r="O18" s="248"/>
      <c r="P18" s="247">
        <f t="shared" si="4"/>
        <v>0</v>
      </c>
      <c r="Q18" s="244"/>
      <c r="R18" s="244"/>
      <c r="S18" s="245">
        <f t="shared" si="5"/>
        <v>0</v>
      </c>
      <c r="T18" s="249">
        <v>2</v>
      </c>
      <c r="U18" s="250"/>
      <c r="V18" s="242"/>
      <c r="W18" s="242"/>
      <c r="X18" s="242"/>
      <c r="Y18" s="242"/>
      <c r="Z18" s="245">
        <f t="shared" si="6"/>
        <v>165.56</v>
      </c>
      <c r="AA18" s="249">
        <v>4</v>
      </c>
      <c r="AB18" s="244"/>
      <c r="AC18" s="244"/>
      <c r="AD18" s="245">
        <f>($AA$8*AA18+$AB$8*AB18+$AC$8*AC18)*B18</f>
        <v>54.4</v>
      </c>
      <c r="AE18" s="244"/>
      <c r="AF18" s="244"/>
      <c r="AG18" s="245">
        <f t="shared" si="8"/>
        <v>0</v>
      </c>
      <c r="AH18" s="251"/>
      <c r="AI18" s="247">
        <f t="shared" si="9"/>
        <v>0</v>
      </c>
      <c r="AJ18" s="244"/>
      <c r="AK18" s="247">
        <f t="shared" si="10"/>
        <v>0</v>
      </c>
      <c r="AL18" s="249"/>
      <c r="AM18" s="247">
        <f t="shared" si="11"/>
        <v>0</v>
      </c>
      <c r="AN18" s="249"/>
      <c r="AO18" s="242"/>
      <c r="AP18" s="242">
        <v>24</v>
      </c>
      <c r="AQ18" s="242"/>
      <c r="AR18" s="242"/>
      <c r="AS18" s="242"/>
      <c r="AT18" s="245">
        <f>($AN$8*AN18+$AO$8*AO18+$AP$8*AP18+$AQ$8*AQ18+$AR$8*AR18+$AS$8*AS18)*B18</f>
        <v>336</v>
      </c>
      <c r="AU18" s="244">
        <v>4</v>
      </c>
      <c r="AV18" s="247">
        <f>$AU$8*AU18*B18</f>
        <v>10.16</v>
      </c>
      <c r="AW18" s="242"/>
      <c r="AX18" s="242"/>
      <c r="AY18" s="245">
        <f t="shared" si="14"/>
        <v>0</v>
      </c>
      <c r="AZ18" s="242"/>
      <c r="BA18" s="247">
        <f t="shared" si="15"/>
        <v>0</v>
      </c>
      <c r="BB18" s="244"/>
      <c r="BC18" s="247">
        <f t="shared" si="16"/>
        <v>0</v>
      </c>
      <c r="BD18" s="242"/>
      <c r="BE18" s="247">
        <f t="shared" si="17"/>
        <v>0</v>
      </c>
      <c r="BF18" s="249"/>
      <c r="BG18" s="244"/>
      <c r="BH18" s="242"/>
      <c r="BI18" s="247">
        <f t="shared" si="18"/>
        <v>0</v>
      </c>
      <c r="BJ18" s="248">
        <v>4</v>
      </c>
      <c r="BK18" s="247">
        <f t="shared" si="19"/>
        <v>108.8</v>
      </c>
      <c r="BL18" s="252">
        <f t="shared" si="20"/>
        <v>1066.9199999999998</v>
      </c>
      <c r="BM18" s="253">
        <f t="shared" si="21"/>
        <v>44.454999999999991</v>
      </c>
      <c r="BN18" s="254"/>
    </row>
    <row r="19" spans="1:66" ht="12.75">
      <c r="A19" s="255" t="s">
        <v>3379</v>
      </c>
      <c r="B19" s="241">
        <v>8</v>
      </c>
      <c r="C19" s="242"/>
      <c r="D19" s="242">
        <v>4</v>
      </c>
      <c r="E19" s="242"/>
      <c r="F19" s="243">
        <f>($C$8*C19+$D$8*D19+$E$8*E19)*B19</f>
        <v>1440</v>
      </c>
      <c r="G19" s="244"/>
      <c r="H19" s="244"/>
      <c r="I19" s="244">
        <v>6</v>
      </c>
      <c r="J19" s="245">
        <f>($G$8*G19+$H$8*H19+$I$8*I19)*B19</f>
        <v>1344</v>
      </c>
      <c r="K19" s="246"/>
      <c r="L19" s="245">
        <f t="shared" si="2"/>
        <v>0</v>
      </c>
      <c r="M19" s="244"/>
      <c r="N19" s="247">
        <f t="shared" si="3"/>
        <v>0</v>
      </c>
      <c r="O19" s="248"/>
      <c r="P19" s="247">
        <f t="shared" si="4"/>
        <v>0</v>
      </c>
      <c r="Q19" s="244"/>
      <c r="R19" s="244"/>
      <c r="S19" s="245">
        <f t="shared" si="5"/>
        <v>0</v>
      </c>
      <c r="T19" s="249">
        <v>2</v>
      </c>
      <c r="U19" s="250"/>
      <c r="V19" s="242"/>
      <c r="W19" s="242"/>
      <c r="X19" s="242"/>
      <c r="Y19" s="242"/>
      <c r="Z19" s="245">
        <f t="shared" si="6"/>
        <v>662.24</v>
      </c>
      <c r="AA19" s="249"/>
      <c r="AB19" s="244"/>
      <c r="AC19" s="244"/>
      <c r="AD19" s="245">
        <f t="shared" si="7"/>
        <v>0</v>
      </c>
      <c r="AE19" s="244"/>
      <c r="AF19" s="244"/>
      <c r="AG19" s="245">
        <f t="shared" si="8"/>
        <v>0</v>
      </c>
      <c r="AH19" s="251"/>
      <c r="AI19" s="247">
        <f t="shared" si="9"/>
        <v>0</v>
      </c>
      <c r="AJ19" s="244"/>
      <c r="AK19" s="247">
        <f t="shared" si="10"/>
        <v>0</v>
      </c>
      <c r="AL19" s="249"/>
      <c r="AM19" s="247">
        <f t="shared" si="11"/>
        <v>0</v>
      </c>
      <c r="AN19" s="249"/>
      <c r="AO19" s="242"/>
      <c r="AP19" s="242"/>
      <c r="AQ19" s="242"/>
      <c r="AR19" s="242"/>
      <c r="AS19" s="242"/>
      <c r="AT19" s="245">
        <f t="shared" si="12"/>
        <v>0</v>
      </c>
      <c r="AU19" s="244"/>
      <c r="AV19" s="247">
        <f t="shared" si="13"/>
        <v>0</v>
      </c>
      <c r="AW19" s="242"/>
      <c r="AX19" s="242"/>
      <c r="AY19" s="245">
        <f t="shared" si="14"/>
        <v>0</v>
      </c>
      <c r="AZ19" s="242"/>
      <c r="BA19" s="247">
        <f t="shared" si="15"/>
        <v>0</v>
      </c>
      <c r="BB19" s="244"/>
      <c r="BC19" s="247">
        <f t="shared" si="16"/>
        <v>0</v>
      </c>
      <c r="BD19" s="242"/>
      <c r="BE19" s="247">
        <f t="shared" si="17"/>
        <v>0</v>
      </c>
      <c r="BF19" s="249"/>
      <c r="BG19" s="244"/>
      <c r="BH19" s="242"/>
      <c r="BI19" s="247">
        <f t="shared" si="18"/>
        <v>0</v>
      </c>
      <c r="BJ19" s="248"/>
      <c r="BK19" s="247">
        <f t="shared" si="19"/>
        <v>0</v>
      </c>
      <c r="BL19" s="252">
        <f t="shared" si="20"/>
        <v>3446.24</v>
      </c>
      <c r="BM19" s="253">
        <f t="shared" si="21"/>
        <v>35.898333333333333</v>
      </c>
      <c r="BN19" s="254"/>
    </row>
    <row r="20" spans="1:66" ht="12.75">
      <c r="A20" s="255" t="s">
        <v>3380</v>
      </c>
      <c r="B20" s="256">
        <v>10</v>
      </c>
      <c r="C20" s="242">
        <v>4</v>
      </c>
      <c r="D20" s="242"/>
      <c r="E20" s="242"/>
      <c r="F20" s="243">
        <f t="shared" si="0"/>
        <v>1000</v>
      </c>
      <c r="G20" s="242"/>
      <c r="H20" s="244">
        <v>8</v>
      </c>
      <c r="I20" s="244"/>
      <c r="J20" s="245">
        <f>($G$8*G20+$H$8*H20+$I$8*I20)*B20</f>
        <v>960</v>
      </c>
      <c r="K20" s="257"/>
      <c r="L20" s="245">
        <f t="shared" si="2"/>
        <v>0</v>
      </c>
      <c r="M20" s="244"/>
      <c r="N20" s="247">
        <f t="shared" si="3"/>
        <v>0</v>
      </c>
      <c r="O20" s="258"/>
      <c r="P20" s="247">
        <f t="shared" si="4"/>
        <v>0</v>
      </c>
      <c r="Q20" s="244"/>
      <c r="R20" s="244"/>
      <c r="S20" s="245">
        <f t="shared" si="5"/>
        <v>0</v>
      </c>
      <c r="T20" s="249"/>
      <c r="U20" s="250"/>
      <c r="V20" s="242"/>
      <c r="W20" s="242"/>
      <c r="X20" s="242">
        <v>2</v>
      </c>
      <c r="Y20" s="242"/>
      <c r="Z20" s="245">
        <f t="shared" si="6"/>
        <v>512.6</v>
      </c>
      <c r="AA20" s="249"/>
      <c r="AB20" s="244"/>
      <c r="AC20" s="244"/>
      <c r="AD20" s="245">
        <f t="shared" si="7"/>
        <v>0</v>
      </c>
      <c r="AE20" s="244">
        <v>4</v>
      </c>
      <c r="AF20" s="244"/>
      <c r="AG20" s="245">
        <f>($AE$8*AE20+$AF$8*AF20)*B20</f>
        <v>1410</v>
      </c>
      <c r="AH20" s="251"/>
      <c r="AI20" s="247">
        <f t="shared" si="9"/>
        <v>0</v>
      </c>
      <c r="AJ20" s="244"/>
      <c r="AK20" s="247">
        <f t="shared" si="10"/>
        <v>0</v>
      </c>
      <c r="AL20" s="251"/>
      <c r="AM20" s="247">
        <f t="shared" si="11"/>
        <v>0</v>
      </c>
      <c r="AN20" s="249"/>
      <c r="AO20" s="242">
        <v>2</v>
      </c>
      <c r="AP20" s="242"/>
      <c r="AQ20" s="242"/>
      <c r="AR20" s="242">
        <v>2</v>
      </c>
      <c r="AS20" s="242"/>
      <c r="AT20" s="245">
        <f>($AN$8*AN20+$AO$8*AO20+$AP$8*AP20+$AQ$8*AQ20+$AR$8*AR20+$AS$8*AS20)*B20</f>
        <v>8027.4</v>
      </c>
      <c r="AU20" s="244"/>
      <c r="AV20" s="247">
        <f t="shared" si="13"/>
        <v>0</v>
      </c>
      <c r="AW20" s="242"/>
      <c r="AX20" s="242"/>
      <c r="AY20" s="245">
        <f t="shared" si="14"/>
        <v>0</v>
      </c>
      <c r="AZ20" s="242"/>
      <c r="BA20" s="247">
        <f t="shared" si="15"/>
        <v>0</v>
      </c>
      <c r="BB20" s="244"/>
      <c r="BC20" s="247">
        <f t="shared" si="16"/>
        <v>0</v>
      </c>
      <c r="BD20" s="242"/>
      <c r="BE20" s="247">
        <f t="shared" si="17"/>
        <v>0</v>
      </c>
      <c r="BF20" s="249">
        <v>2</v>
      </c>
      <c r="BG20" s="244"/>
      <c r="BH20" s="242"/>
      <c r="BI20" s="247">
        <f t="shared" si="18"/>
        <v>184.60000000000002</v>
      </c>
      <c r="BJ20" s="250"/>
      <c r="BK20" s="247">
        <f t="shared" si="19"/>
        <v>0</v>
      </c>
      <c r="BL20" s="252">
        <f t="shared" si="20"/>
        <v>12094.6</v>
      </c>
      <c r="BM20" s="253">
        <f t="shared" si="21"/>
        <v>100.78833333333333</v>
      </c>
      <c r="BN20" s="254"/>
    </row>
    <row r="21" spans="1:66" ht="12.75">
      <c r="A21" s="255" t="s">
        <v>3381</v>
      </c>
      <c r="B21" s="241">
        <v>12</v>
      </c>
      <c r="C21" s="242"/>
      <c r="D21" s="242"/>
      <c r="E21" s="242">
        <v>4</v>
      </c>
      <c r="F21" s="243">
        <f t="shared" si="0"/>
        <v>2016</v>
      </c>
      <c r="G21" s="244"/>
      <c r="H21" s="244"/>
      <c r="I21" s="244"/>
      <c r="J21" s="245">
        <f t="shared" si="1"/>
        <v>0</v>
      </c>
      <c r="K21" s="246">
        <v>6</v>
      </c>
      <c r="L21" s="245">
        <f>($K$8*K21)*B21</f>
        <v>3780</v>
      </c>
      <c r="M21" s="244">
        <v>2</v>
      </c>
      <c r="N21" s="247">
        <f>($M$8*M21)*B21</f>
        <v>3358.56</v>
      </c>
      <c r="O21" s="248">
        <v>2</v>
      </c>
      <c r="P21" s="247">
        <f>$O$8*O21*B21</f>
        <v>1416</v>
      </c>
      <c r="Q21" s="244">
        <v>2</v>
      </c>
      <c r="R21" s="244"/>
      <c r="S21" s="245">
        <f>($Q$8*Q21+$R$8*R21)*B21</f>
        <v>240</v>
      </c>
      <c r="T21" s="249"/>
      <c r="U21" s="250">
        <v>2</v>
      </c>
      <c r="V21" s="242"/>
      <c r="W21" s="242"/>
      <c r="X21" s="242"/>
      <c r="Y21" s="242"/>
      <c r="Z21" s="245">
        <f t="shared" si="6"/>
        <v>2823.6000000000004</v>
      </c>
      <c r="AA21" s="249"/>
      <c r="AB21" s="244"/>
      <c r="AC21" s="244"/>
      <c r="AD21" s="245">
        <f t="shared" si="7"/>
        <v>0</v>
      </c>
      <c r="AE21" s="244"/>
      <c r="AF21" s="244"/>
      <c r="AG21" s="245">
        <f t="shared" si="8"/>
        <v>0</v>
      </c>
      <c r="AH21" s="251"/>
      <c r="AI21" s="247">
        <f t="shared" si="9"/>
        <v>0</v>
      </c>
      <c r="AJ21" s="244"/>
      <c r="AK21" s="247">
        <f t="shared" si="10"/>
        <v>0</v>
      </c>
      <c r="AL21" s="249"/>
      <c r="AM21" s="247">
        <f t="shared" si="11"/>
        <v>0</v>
      </c>
      <c r="AN21" s="249"/>
      <c r="AO21" s="242"/>
      <c r="AP21" s="242"/>
      <c r="AQ21" s="242"/>
      <c r="AR21" s="242"/>
      <c r="AS21" s="242"/>
      <c r="AT21" s="245">
        <f t="shared" si="12"/>
        <v>0</v>
      </c>
      <c r="AU21" s="244"/>
      <c r="AV21" s="247">
        <f t="shared" si="13"/>
        <v>0</v>
      </c>
      <c r="AW21" s="242"/>
      <c r="AX21" s="242"/>
      <c r="AY21" s="245">
        <f t="shared" si="14"/>
        <v>0</v>
      </c>
      <c r="AZ21" s="242"/>
      <c r="BA21" s="247">
        <f t="shared" si="15"/>
        <v>0</v>
      </c>
      <c r="BB21" s="244"/>
      <c r="BC21" s="247">
        <f t="shared" si="16"/>
        <v>0</v>
      </c>
      <c r="BD21" s="242"/>
      <c r="BE21" s="247">
        <f t="shared" si="17"/>
        <v>0</v>
      </c>
      <c r="BF21" s="249"/>
      <c r="BG21" s="244"/>
      <c r="BH21" s="242"/>
      <c r="BI21" s="247">
        <f t="shared" si="18"/>
        <v>0</v>
      </c>
      <c r="BJ21" s="248"/>
      <c r="BK21" s="247">
        <f t="shared" si="19"/>
        <v>0</v>
      </c>
      <c r="BL21" s="252">
        <f t="shared" si="20"/>
        <v>13634.16</v>
      </c>
      <c r="BM21" s="253">
        <f t="shared" si="21"/>
        <v>94.681666666666672</v>
      </c>
      <c r="BN21" s="254"/>
    </row>
    <row r="22" spans="1:66" ht="12.75">
      <c r="A22" s="255" t="s">
        <v>3382</v>
      </c>
      <c r="B22" s="256">
        <v>2</v>
      </c>
      <c r="C22" s="242">
        <v>4</v>
      </c>
      <c r="D22" s="242"/>
      <c r="E22" s="242"/>
      <c r="F22" s="243">
        <f t="shared" si="0"/>
        <v>200</v>
      </c>
      <c r="G22" s="242"/>
      <c r="H22" s="244">
        <v>8</v>
      </c>
      <c r="I22" s="244"/>
      <c r="J22" s="245">
        <f>($G$8*G22+$H$8*H22+$I$8*I22)*B22</f>
        <v>192</v>
      </c>
      <c r="K22" s="257"/>
      <c r="L22" s="245">
        <f t="shared" si="2"/>
        <v>0</v>
      </c>
      <c r="M22" s="244"/>
      <c r="N22" s="247">
        <f t="shared" si="3"/>
        <v>0</v>
      </c>
      <c r="O22" s="258"/>
      <c r="P22" s="247">
        <f t="shared" si="4"/>
        <v>0</v>
      </c>
      <c r="Q22" s="244"/>
      <c r="R22" s="244"/>
      <c r="S22" s="245">
        <f t="shared" si="5"/>
        <v>0</v>
      </c>
      <c r="T22" s="249"/>
      <c r="U22" s="250"/>
      <c r="V22" s="242"/>
      <c r="W22" s="242"/>
      <c r="X22" s="242">
        <v>2</v>
      </c>
      <c r="Y22" s="242"/>
      <c r="Z22" s="245">
        <f t="shared" si="6"/>
        <v>102.52</v>
      </c>
      <c r="AA22" s="249"/>
      <c r="AB22" s="244"/>
      <c r="AC22" s="244"/>
      <c r="AD22" s="245">
        <f t="shared" si="7"/>
        <v>0</v>
      </c>
      <c r="AE22" s="244">
        <v>4</v>
      </c>
      <c r="AF22" s="244"/>
      <c r="AG22" s="245">
        <f>($AE$8*AE22+$AF$8*AF22)*B22</f>
        <v>282</v>
      </c>
      <c r="AH22" s="251"/>
      <c r="AI22" s="247">
        <f t="shared" si="9"/>
        <v>0</v>
      </c>
      <c r="AJ22" s="244"/>
      <c r="AK22" s="247">
        <f t="shared" si="10"/>
        <v>0</v>
      </c>
      <c r="AL22" s="251"/>
      <c r="AM22" s="247">
        <f t="shared" si="11"/>
        <v>0</v>
      </c>
      <c r="AN22" s="249"/>
      <c r="AO22" s="242"/>
      <c r="AP22" s="242">
        <v>24</v>
      </c>
      <c r="AQ22" s="242"/>
      <c r="AR22" s="242"/>
      <c r="AS22" s="242"/>
      <c r="AT22" s="245">
        <f t="shared" si="12"/>
        <v>336</v>
      </c>
      <c r="AU22" s="244"/>
      <c r="AV22" s="247">
        <f t="shared" si="13"/>
        <v>0</v>
      </c>
      <c r="AW22" s="242"/>
      <c r="AX22" s="242"/>
      <c r="AY22" s="245">
        <f t="shared" si="14"/>
        <v>0</v>
      </c>
      <c r="AZ22" s="242"/>
      <c r="BA22" s="247">
        <f t="shared" si="15"/>
        <v>0</v>
      </c>
      <c r="BB22" s="244"/>
      <c r="BC22" s="247">
        <f t="shared" si="16"/>
        <v>0</v>
      </c>
      <c r="BD22" s="242"/>
      <c r="BE22" s="247">
        <f t="shared" si="17"/>
        <v>0</v>
      </c>
      <c r="BF22" s="249">
        <v>2</v>
      </c>
      <c r="BG22" s="244"/>
      <c r="BH22" s="242"/>
      <c r="BI22" s="247">
        <f t="shared" si="18"/>
        <v>36.92</v>
      </c>
      <c r="BJ22" s="250"/>
      <c r="BK22" s="247">
        <f t="shared" si="19"/>
        <v>0</v>
      </c>
      <c r="BL22" s="252">
        <f t="shared" si="20"/>
        <v>1149.44</v>
      </c>
      <c r="BM22" s="253">
        <f t="shared" si="21"/>
        <v>47.893333333333338</v>
      </c>
      <c r="BN22" s="254"/>
    </row>
    <row r="23" spans="1:66" ht="12.75">
      <c r="A23" s="255" t="s">
        <v>3383</v>
      </c>
      <c r="B23" s="256">
        <v>2</v>
      </c>
      <c r="C23" s="242">
        <v>4</v>
      </c>
      <c r="D23" s="242"/>
      <c r="E23" s="242"/>
      <c r="F23" s="243">
        <f t="shared" si="0"/>
        <v>200</v>
      </c>
      <c r="G23" s="242"/>
      <c r="H23" s="244">
        <v>8</v>
      </c>
      <c r="I23" s="244"/>
      <c r="J23" s="245">
        <f>($G$8*G23+$H$8*H23+$I$8*I23)*B23</f>
        <v>192</v>
      </c>
      <c r="K23" s="257"/>
      <c r="L23" s="245">
        <f t="shared" si="2"/>
        <v>0</v>
      </c>
      <c r="M23" s="244"/>
      <c r="N23" s="247">
        <f t="shared" si="3"/>
        <v>0</v>
      </c>
      <c r="O23" s="258"/>
      <c r="P23" s="247">
        <f t="shared" si="4"/>
        <v>0</v>
      </c>
      <c r="Q23" s="244"/>
      <c r="R23" s="244"/>
      <c r="S23" s="245">
        <f t="shared" si="5"/>
        <v>0</v>
      </c>
      <c r="T23" s="249"/>
      <c r="U23" s="250"/>
      <c r="V23" s="242">
        <v>2</v>
      </c>
      <c r="W23" s="242"/>
      <c r="X23" s="242">
        <v>2</v>
      </c>
      <c r="Y23" s="242"/>
      <c r="Z23" s="245">
        <f t="shared" si="6"/>
        <v>226.16</v>
      </c>
      <c r="AA23" s="249"/>
      <c r="AB23" s="244">
        <v>2</v>
      </c>
      <c r="AC23" s="244"/>
      <c r="AD23" s="245">
        <f>($AA$8*AA23+$AB$8*AB23+$AC$8*AC23)*B23</f>
        <v>26.4</v>
      </c>
      <c r="AE23" s="244"/>
      <c r="AF23" s="244"/>
      <c r="AG23" s="245">
        <f t="shared" si="8"/>
        <v>0</v>
      </c>
      <c r="AH23" s="249">
        <v>12</v>
      </c>
      <c r="AI23" s="247">
        <f>$AH$8*AH23*B23</f>
        <v>138</v>
      </c>
      <c r="AJ23" s="244">
        <v>2</v>
      </c>
      <c r="AK23" s="247">
        <f t="shared" si="10"/>
        <v>81.56</v>
      </c>
      <c r="AL23" s="251"/>
      <c r="AM23" s="247">
        <f t="shared" si="11"/>
        <v>0</v>
      </c>
      <c r="AN23" s="249"/>
      <c r="AO23" s="242"/>
      <c r="AP23" s="242">
        <v>24</v>
      </c>
      <c r="AQ23" s="242"/>
      <c r="AR23" s="242"/>
      <c r="AS23" s="242"/>
      <c r="AT23" s="245">
        <f>($AN$8*AN23+$AO$8*AO23+$AP$8*AP23+$AQ$8*AQ23+$AR$8*AR23+$AS$8*AS23)*B23</f>
        <v>336</v>
      </c>
      <c r="AU23" s="244"/>
      <c r="AV23" s="247">
        <f t="shared" si="13"/>
        <v>0</v>
      </c>
      <c r="AW23" s="242"/>
      <c r="AX23" s="242"/>
      <c r="AY23" s="245">
        <f t="shared" si="14"/>
        <v>0</v>
      </c>
      <c r="AZ23" s="242"/>
      <c r="BA23" s="247">
        <f t="shared" si="15"/>
        <v>0</v>
      </c>
      <c r="BB23" s="244"/>
      <c r="BC23" s="247">
        <f t="shared" si="16"/>
        <v>0</v>
      </c>
      <c r="BD23" s="242"/>
      <c r="BE23" s="247">
        <f t="shared" si="17"/>
        <v>0</v>
      </c>
      <c r="BF23" s="249">
        <v>2</v>
      </c>
      <c r="BG23" s="244"/>
      <c r="BH23" s="242"/>
      <c r="BI23" s="247">
        <f t="shared" si="18"/>
        <v>36.92</v>
      </c>
      <c r="BJ23" s="250"/>
      <c r="BK23" s="247">
        <f t="shared" si="19"/>
        <v>0</v>
      </c>
      <c r="BL23" s="252">
        <f t="shared" si="20"/>
        <v>1237.04</v>
      </c>
      <c r="BM23" s="253">
        <f t="shared" si="21"/>
        <v>51.543333333333329</v>
      </c>
      <c r="BN23" s="254"/>
    </row>
    <row r="24" spans="1:66" ht="12.75">
      <c r="A24" s="255" t="s">
        <v>3384</v>
      </c>
      <c r="B24" s="241">
        <v>5</v>
      </c>
      <c r="C24" s="242"/>
      <c r="D24" s="242"/>
      <c r="E24" s="242">
        <v>4</v>
      </c>
      <c r="F24" s="243">
        <f t="shared" si="0"/>
        <v>840</v>
      </c>
      <c r="G24" s="244">
        <v>6</v>
      </c>
      <c r="H24" s="244"/>
      <c r="I24" s="244"/>
      <c r="J24" s="245">
        <f>($G$8*G24+$H$8*H24+$I$8*I24)*B24</f>
        <v>1470</v>
      </c>
      <c r="K24" s="246"/>
      <c r="L24" s="245">
        <f t="shared" si="2"/>
        <v>0</v>
      </c>
      <c r="M24" s="244"/>
      <c r="N24" s="247">
        <f t="shared" si="3"/>
        <v>0</v>
      </c>
      <c r="O24" s="248"/>
      <c r="P24" s="247">
        <f t="shared" si="4"/>
        <v>0</v>
      </c>
      <c r="Q24" s="244"/>
      <c r="R24" s="244"/>
      <c r="S24" s="245">
        <f t="shared" si="5"/>
        <v>0</v>
      </c>
      <c r="T24" s="244">
        <v>2</v>
      </c>
      <c r="U24" s="248"/>
      <c r="V24" s="244"/>
      <c r="W24" s="244"/>
      <c r="X24" s="244"/>
      <c r="Y24" s="244"/>
      <c r="Z24" s="245">
        <f t="shared" si="6"/>
        <v>413.9</v>
      </c>
      <c r="AA24" s="249"/>
      <c r="AB24" s="244"/>
      <c r="AC24" s="244"/>
      <c r="AD24" s="245">
        <f t="shared" si="7"/>
        <v>0</v>
      </c>
      <c r="AE24" s="244"/>
      <c r="AF24" s="244"/>
      <c r="AG24" s="245">
        <f t="shared" si="8"/>
        <v>0</v>
      </c>
      <c r="AH24" s="251"/>
      <c r="AI24" s="247">
        <f t="shared" si="9"/>
        <v>0</v>
      </c>
      <c r="AJ24" s="244"/>
      <c r="AK24" s="247">
        <f t="shared" si="10"/>
        <v>0</v>
      </c>
      <c r="AL24" s="249"/>
      <c r="AM24" s="247">
        <f t="shared" si="11"/>
        <v>0</v>
      </c>
      <c r="AN24" s="249"/>
      <c r="AO24" s="242"/>
      <c r="AP24" s="242"/>
      <c r="AQ24" s="242"/>
      <c r="AR24" s="242"/>
      <c r="AS24" s="242"/>
      <c r="AT24" s="245">
        <f t="shared" si="12"/>
        <v>0</v>
      </c>
      <c r="AU24" s="244"/>
      <c r="AV24" s="247">
        <f t="shared" si="13"/>
        <v>0</v>
      </c>
      <c r="AW24" s="242"/>
      <c r="AX24" s="242"/>
      <c r="AY24" s="245">
        <f t="shared" si="14"/>
        <v>0</v>
      </c>
      <c r="AZ24" s="242"/>
      <c r="BA24" s="247">
        <f t="shared" si="15"/>
        <v>0</v>
      </c>
      <c r="BB24" s="244"/>
      <c r="BC24" s="247">
        <f t="shared" si="16"/>
        <v>0</v>
      </c>
      <c r="BD24" s="242"/>
      <c r="BE24" s="247">
        <f t="shared" si="17"/>
        <v>0</v>
      </c>
      <c r="BF24" s="249"/>
      <c r="BG24" s="244"/>
      <c r="BH24" s="242"/>
      <c r="BI24" s="247">
        <f t="shared" si="18"/>
        <v>0</v>
      </c>
      <c r="BJ24" s="248"/>
      <c r="BK24" s="247">
        <f t="shared" si="19"/>
        <v>0</v>
      </c>
      <c r="BL24" s="252">
        <f t="shared" si="20"/>
        <v>2723.9</v>
      </c>
      <c r="BM24" s="253">
        <f t="shared" si="21"/>
        <v>45.398333333333333</v>
      </c>
      <c r="BN24" s="254"/>
    </row>
    <row r="25" spans="1:66" ht="12.75">
      <c r="A25" s="255" t="s">
        <v>3385</v>
      </c>
      <c r="B25" s="256">
        <v>7</v>
      </c>
      <c r="C25" s="242">
        <v>4</v>
      </c>
      <c r="D25" s="242"/>
      <c r="E25" s="242"/>
      <c r="F25" s="243">
        <f t="shared" si="0"/>
        <v>700</v>
      </c>
      <c r="G25" s="242"/>
      <c r="H25" s="244">
        <v>8</v>
      </c>
      <c r="I25" s="244"/>
      <c r="J25" s="245">
        <f>($G$8*G25+$H$8*H25+$I$8*I25)*B25</f>
        <v>672</v>
      </c>
      <c r="K25" s="257"/>
      <c r="L25" s="245">
        <f t="shared" si="2"/>
        <v>0</v>
      </c>
      <c r="M25" s="244"/>
      <c r="N25" s="247">
        <f t="shared" si="3"/>
        <v>0</v>
      </c>
      <c r="O25" s="258"/>
      <c r="P25" s="247">
        <f t="shared" si="4"/>
        <v>0</v>
      </c>
      <c r="Q25" s="244"/>
      <c r="R25" s="244"/>
      <c r="S25" s="245">
        <f t="shared" si="5"/>
        <v>0</v>
      </c>
      <c r="T25" s="249"/>
      <c r="U25" s="250"/>
      <c r="V25" s="242"/>
      <c r="W25" s="242"/>
      <c r="X25" s="249">
        <v>2</v>
      </c>
      <c r="Y25" s="249"/>
      <c r="Z25" s="245">
        <f t="shared" si="6"/>
        <v>358.82</v>
      </c>
      <c r="AA25" s="249"/>
      <c r="AB25" s="244"/>
      <c r="AC25" s="244"/>
      <c r="AD25" s="245">
        <f t="shared" si="7"/>
        <v>0</v>
      </c>
      <c r="AE25" s="244">
        <v>4</v>
      </c>
      <c r="AF25" s="244"/>
      <c r="AG25" s="245">
        <f>($AE$8*AE25+$AF$8*AF25)*B25</f>
        <v>987</v>
      </c>
      <c r="AH25" s="251"/>
      <c r="AI25" s="247">
        <f t="shared" si="9"/>
        <v>0</v>
      </c>
      <c r="AJ25" s="244"/>
      <c r="AK25" s="247">
        <f t="shared" si="10"/>
        <v>0</v>
      </c>
      <c r="AL25" s="251"/>
      <c r="AM25" s="247">
        <f t="shared" si="11"/>
        <v>0</v>
      </c>
      <c r="AN25" s="249"/>
      <c r="AO25" s="242"/>
      <c r="AP25" s="242"/>
      <c r="AQ25" s="242"/>
      <c r="AR25" s="242"/>
      <c r="AS25" s="242">
        <v>4</v>
      </c>
      <c r="AT25" s="245">
        <f>($AN$8*AN25+$AO$8*AO25+$AP$8*AP25+$AQ$8*AQ25+$AR$8*AR25+$AS$8*AS25)*B25</f>
        <v>210</v>
      </c>
      <c r="AU25" s="244"/>
      <c r="AV25" s="247">
        <f t="shared" si="13"/>
        <v>0</v>
      </c>
      <c r="AW25" s="242">
        <v>96</v>
      </c>
      <c r="AX25" s="242"/>
      <c r="AY25" s="245">
        <f>($AW$8*AW25+$AX$8*AX25)*B25</f>
        <v>1518.7199999999998</v>
      </c>
      <c r="AZ25" s="242"/>
      <c r="BA25" s="247">
        <f t="shared" si="15"/>
        <v>0</v>
      </c>
      <c r="BB25" s="244">
        <v>1</v>
      </c>
      <c r="BC25" s="247">
        <f t="shared" si="16"/>
        <v>200.54999999999998</v>
      </c>
      <c r="BD25" s="242">
        <v>2</v>
      </c>
      <c r="BE25" s="247">
        <f t="shared" si="17"/>
        <v>476.69999999999993</v>
      </c>
      <c r="BF25" s="249"/>
      <c r="BG25" s="244"/>
      <c r="BH25" s="242">
        <v>2</v>
      </c>
      <c r="BI25" s="247">
        <f t="shared" si="18"/>
        <v>91.98</v>
      </c>
      <c r="BJ25" s="250"/>
      <c r="BK25" s="247">
        <f t="shared" si="19"/>
        <v>0</v>
      </c>
      <c r="BL25" s="252">
        <f t="shared" si="20"/>
        <v>5215.7699999999986</v>
      </c>
      <c r="BM25" s="253">
        <f t="shared" si="21"/>
        <v>62.09249999999998</v>
      </c>
      <c r="BN25" s="254"/>
    </row>
    <row r="26" spans="1:66" ht="12.75">
      <c r="A26" s="255" t="s">
        <v>3386</v>
      </c>
      <c r="B26" s="241">
        <v>97</v>
      </c>
      <c r="C26" s="242"/>
      <c r="D26" s="242"/>
      <c r="E26" s="242">
        <v>4</v>
      </c>
      <c r="F26" s="243">
        <f t="shared" si="0"/>
        <v>16296</v>
      </c>
      <c r="G26" s="244"/>
      <c r="H26" s="244"/>
      <c r="I26" s="244"/>
      <c r="J26" s="245">
        <f t="shared" si="1"/>
        <v>0</v>
      </c>
      <c r="K26" s="246">
        <v>10</v>
      </c>
      <c r="L26" s="245">
        <f t="shared" si="2"/>
        <v>50925</v>
      </c>
      <c r="M26" s="244">
        <v>2</v>
      </c>
      <c r="N26" s="247">
        <f t="shared" si="3"/>
        <v>27148.36</v>
      </c>
      <c r="O26" s="248"/>
      <c r="P26" s="247">
        <f t="shared" si="4"/>
        <v>0</v>
      </c>
      <c r="Q26" s="244"/>
      <c r="R26" s="244">
        <v>2</v>
      </c>
      <c r="S26" s="245">
        <f>($Q$8*Q26+$R$8*R26)*B26</f>
        <v>2910</v>
      </c>
      <c r="T26" s="244"/>
      <c r="U26" s="248">
        <v>2</v>
      </c>
      <c r="V26" s="244"/>
      <c r="W26" s="244"/>
      <c r="X26" s="244"/>
      <c r="Y26" s="244"/>
      <c r="Z26" s="245">
        <f t="shared" si="6"/>
        <v>22824.100000000002</v>
      </c>
      <c r="AA26" s="249"/>
      <c r="AB26" s="244"/>
      <c r="AC26" s="244"/>
      <c r="AD26" s="245">
        <f t="shared" si="7"/>
        <v>0</v>
      </c>
      <c r="AE26" s="244"/>
      <c r="AF26" s="244"/>
      <c r="AG26" s="245">
        <f t="shared" si="8"/>
        <v>0</v>
      </c>
      <c r="AH26" s="251"/>
      <c r="AI26" s="247">
        <f t="shared" si="9"/>
        <v>0</v>
      </c>
      <c r="AJ26" s="244"/>
      <c r="AK26" s="247">
        <f t="shared" si="10"/>
        <v>0</v>
      </c>
      <c r="AL26" s="249"/>
      <c r="AM26" s="247">
        <f t="shared" si="11"/>
        <v>0</v>
      </c>
      <c r="AN26" s="249"/>
      <c r="AO26" s="242"/>
      <c r="AP26" s="242"/>
      <c r="AQ26" s="242"/>
      <c r="AR26" s="242"/>
      <c r="AS26" s="242"/>
      <c r="AT26" s="245">
        <f t="shared" si="12"/>
        <v>0</v>
      </c>
      <c r="AU26" s="244"/>
      <c r="AV26" s="247">
        <f t="shared" si="13"/>
        <v>0</v>
      </c>
      <c r="AW26" s="242"/>
      <c r="AX26" s="242"/>
      <c r="AY26" s="245">
        <f t="shared" si="14"/>
        <v>0</v>
      </c>
      <c r="AZ26" s="242"/>
      <c r="BA26" s="247">
        <f t="shared" si="15"/>
        <v>0</v>
      </c>
      <c r="BB26" s="244"/>
      <c r="BC26" s="247">
        <f t="shared" si="16"/>
        <v>0</v>
      </c>
      <c r="BD26" s="242"/>
      <c r="BE26" s="247">
        <f t="shared" si="17"/>
        <v>0</v>
      </c>
      <c r="BF26" s="249"/>
      <c r="BG26" s="244"/>
      <c r="BH26" s="242"/>
      <c r="BI26" s="247">
        <f t="shared" si="18"/>
        <v>0</v>
      </c>
      <c r="BJ26" s="248"/>
      <c r="BK26" s="247">
        <f t="shared" si="19"/>
        <v>0</v>
      </c>
      <c r="BL26" s="252">
        <f t="shared" si="20"/>
        <v>120103.46</v>
      </c>
      <c r="BM26" s="253">
        <f t="shared" si="21"/>
        <v>103.18166666666667</v>
      </c>
      <c r="BN26" s="254"/>
    </row>
    <row r="27" spans="1:66" ht="12.75">
      <c r="A27" s="255" t="s">
        <v>3387</v>
      </c>
      <c r="B27" s="241">
        <v>2</v>
      </c>
      <c r="C27" s="242"/>
      <c r="D27" s="242">
        <v>4</v>
      </c>
      <c r="E27" s="242"/>
      <c r="F27" s="243">
        <f t="shared" si="0"/>
        <v>360</v>
      </c>
      <c r="G27" s="244"/>
      <c r="H27" s="244"/>
      <c r="I27" s="244">
        <v>6</v>
      </c>
      <c r="J27" s="245">
        <f t="shared" si="1"/>
        <v>336</v>
      </c>
      <c r="K27" s="246"/>
      <c r="L27" s="245">
        <f t="shared" si="2"/>
        <v>0</v>
      </c>
      <c r="M27" s="244"/>
      <c r="N27" s="247">
        <f t="shared" si="3"/>
        <v>0</v>
      </c>
      <c r="O27" s="248"/>
      <c r="P27" s="247">
        <f t="shared" si="4"/>
        <v>0</v>
      </c>
      <c r="Q27" s="244"/>
      <c r="R27" s="244"/>
      <c r="S27" s="245">
        <f t="shared" si="5"/>
        <v>0</v>
      </c>
      <c r="T27" s="244">
        <v>2</v>
      </c>
      <c r="U27" s="248"/>
      <c r="V27" s="244"/>
      <c r="W27" s="244"/>
      <c r="X27" s="244"/>
      <c r="Y27" s="244"/>
      <c r="Z27" s="245">
        <f t="shared" si="6"/>
        <v>165.56</v>
      </c>
      <c r="AA27" s="249"/>
      <c r="AB27" s="244"/>
      <c r="AC27" s="244"/>
      <c r="AD27" s="245">
        <f t="shared" si="7"/>
        <v>0</v>
      </c>
      <c r="AE27" s="244"/>
      <c r="AF27" s="244"/>
      <c r="AG27" s="245">
        <f t="shared" si="8"/>
        <v>0</v>
      </c>
      <c r="AH27" s="251"/>
      <c r="AI27" s="247">
        <f t="shared" si="9"/>
        <v>0</v>
      </c>
      <c r="AJ27" s="244"/>
      <c r="AK27" s="247">
        <f t="shared" si="10"/>
        <v>0</v>
      </c>
      <c r="AL27" s="249"/>
      <c r="AM27" s="247">
        <f t="shared" si="11"/>
        <v>0</v>
      </c>
      <c r="AN27" s="249"/>
      <c r="AO27" s="242"/>
      <c r="AP27" s="242"/>
      <c r="AQ27" s="242"/>
      <c r="AR27" s="242"/>
      <c r="AS27" s="242"/>
      <c r="AT27" s="245">
        <f t="shared" si="12"/>
        <v>0</v>
      </c>
      <c r="AU27" s="244"/>
      <c r="AV27" s="247">
        <f t="shared" si="13"/>
        <v>0</v>
      </c>
      <c r="AW27" s="242"/>
      <c r="AX27" s="242"/>
      <c r="AY27" s="245">
        <f t="shared" si="14"/>
        <v>0</v>
      </c>
      <c r="AZ27" s="242"/>
      <c r="BA27" s="247">
        <f t="shared" si="15"/>
        <v>0</v>
      </c>
      <c r="BB27" s="244"/>
      <c r="BC27" s="247">
        <f t="shared" si="16"/>
        <v>0</v>
      </c>
      <c r="BD27" s="242"/>
      <c r="BE27" s="247">
        <f t="shared" si="17"/>
        <v>0</v>
      </c>
      <c r="BF27" s="249"/>
      <c r="BG27" s="244"/>
      <c r="BH27" s="242"/>
      <c r="BI27" s="247">
        <f t="shared" si="18"/>
        <v>0</v>
      </c>
      <c r="BJ27" s="248"/>
      <c r="BK27" s="247">
        <f t="shared" si="19"/>
        <v>0</v>
      </c>
      <c r="BL27" s="252">
        <f t="shared" si="20"/>
        <v>861.56</v>
      </c>
      <c r="BM27" s="253">
        <f t="shared" si="21"/>
        <v>35.898333333333333</v>
      </c>
      <c r="BN27" s="254"/>
    </row>
    <row r="28" spans="1:66" ht="12.75">
      <c r="A28" s="255" t="s">
        <v>3388</v>
      </c>
      <c r="B28" s="256">
        <v>2</v>
      </c>
      <c r="C28" s="242">
        <v>4</v>
      </c>
      <c r="D28" s="242"/>
      <c r="E28" s="242"/>
      <c r="F28" s="243">
        <f t="shared" si="0"/>
        <v>200</v>
      </c>
      <c r="G28" s="242"/>
      <c r="H28" s="244">
        <v>8</v>
      </c>
      <c r="I28" s="244"/>
      <c r="J28" s="245">
        <f t="shared" si="1"/>
        <v>192</v>
      </c>
      <c r="K28" s="257"/>
      <c r="L28" s="245">
        <f t="shared" si="2"/>
        <v>0</v>
      </c>
      <c r="M28" s="244"/>
      <c r="N28" s="247">
        <f t="shared" si="3"/>
        <v>0</v>
      </c>
      <c r="O28" s="258"/>
      <c r="P28" s="247">
        <f t="shared" si="4"/>
        <v>0</v>
      </c>
      <c r="Q28" s="244"/>
      <c r="R28" s="244"/>
      <c r="S28" s="245">
        <f t="shared" si="5"/>
        <v>0</v>
      </c>
      <c r="T28" s="249"/>
      <c r="U28" s="250"/>
      <c r="V28" s="242"/>
      <c r="W28" s="242"/>
      <c r="X28" s="249">
        <v>2</v>
      </c>
      <c r="Y28" s="249"/>
      <c r="Z28" s="245">
        <f t="shared" si="6"/>
        <v>102.52</v>
      </c>
      <c r="AA28" s="249"/>
      <c r="AB28" s="244"/>
      <c r="AC28" s="244"/>
      <c r="AD28" s="245">
        <f t="shared" si="7"/>
        <v>0</v>
      </c>
      <c r="AE28" s="244">
        <v>4</v>
      </c>
      <c r="AF28" s="244"/>
      <c r="AG28" s="245">
        <f>($AE$8*AE28+$AF$8*AF28)*B28</f>
        <v>282</v>
      </c>
      <c r="AH28" s="249">
        <v>6</v>
      </c>
      <c r="AI28" s="247">
        <f>$AH$8*AH28*B28</f>
        <v>69</v>
      </c>
      <c r="AJ28" s="244"/>
      <c r="AK28" s="247">
        <f t="shared" si="10"/>
        <v>0</v>
      </c>
      <c r="AL28" s="251"/>
      <c r="AM28" s="247">
        <f t="shared" si="11"/>
        <v>0</v>
      </c>
      <c r="AN28" s="249"/>
      <c r="AO28" s="242"/>
      <c r="AP28" s="242">
        <v>4</v>
      </c>
      <c r="AQ28" s="242"/>
      <c r="AR28" s="242"/>
      <c r="AS28" s="242"/>
      <c r="AT28" s="245">
        <f>($AN$8*AN28+$AO$8*AO28+$AP$8*AP28+$AQ$8*AQ28+$AR$8*AR28+$AS$8*AS28)*B28</f>
        <v>56</v>
      </c>
      <c r="AU28" s="244"/>
      <c r="AV28" s="247">
        <f t="shared" si="13"/>
        <v>0</v>
      </c>
      <c r="AW28" s="242">
        <v>20</v>
      </c>
      <c r="AX28" s="242"/>
      <c r="AY28" s="245">
        <f>($AW$8*AW28+$AX$8*AX28)*B28</f>
        <v>90.399999999999991</v>
      </c>
      <c r="AZ28" s="242"/>
      <c r="BA28" s="247">
        <f t="shared" si="15"/>
        <v>0</v>
      </c>
      <c r="BB28" s="244"/>
      <c r="BC28" s="247">
        <f t="shared" si="16"/>
        <v>0</v>
      </c>
      <c r="BD28" s="242"/>
      <c r="BE28" s="247">
        <f t="shared" si="17"/>
        <v>0</v>
      </c>
      <c r="BF28" s="249">
        <v>2</v>
      </c>
      <c r="BG28" s="244"/>
      <c r="BH28" s="242"/>
      <c r="BI28" s="247">
        <f t="shared" si="18"/>
        <v>36.92</v>
      </c>
      <c r="BJ28" s="250"/>
      <c r="BK28" s="247">
        <f t="shared" si="19"/>
        <v>0</v>
      </c>
      <c r="BL28" s="252">
        <f t="shared" si="20"/>
        <v>1028.8399999999999</v>
      </c>
      <c r="BM28" s="253">
        <f t="shared" si="21"/>
        <v>42.868333333333332</v>
      </c>
      <c r="BN28" s="254"/>
    </row>
    <row r="29" spans="1:66" ht="12.75">
      <c r="A29" s="255" t="s">
        <v>3389</v>
      </c>
      <c r="B29" s="256">
        <v>3</v>
      </c>
      <c r="C29" s="262">
        <v>4</v>
      </c>
      <c r="D29" s="242"/>
      <c r="E29" s="242"/>
      <c r="F29" s="243">
        <f t="shared" si="0"/>
        <v>300</v>
      </c>
      <c r="G29" s="242"/>
      <c r="H29" s="244">
        <v>8</v>
      </c>
      <c r="I29" s="244"/>
      <c r="J29" s="245">
        <f t="shared" si="1"/>
        <v>288</v>
      </c>
      <c r="K29" s="257"/>
      <c r="L29" s="245">
        <f t="shared" si="2"/>
        <v>0</v>
      </c>
      <c r="M29" s="244"/>
      <c r="N29" s="247">
        <f t="shared" si="3"/>
        <v>0</v>
      </c>
      <c r="O29" s="258"/>
      <c r="P29" s="247">
        <f t="shared" si="4"/>
        <v>0</v>
      </c>
      <c r="Q29" s="244"/>
      <c r="R29" s="244"/>
      <c r="S29" s="245">
        <f t="shared" si="5"/>
        <v>0</v>
      </c>
      <c r="T29" s="249"/>
      <c r="U29" s="250"/>
      <c r="V29" s="242"/>
      <c r="W29" s="242"/>
      <c r="X29" s="249">
        <v>2</v>
      </c>
      <c r="Y29" s="249"/>
      <c r="Z29" s="245">
        <f t="shared" si="6"/>
        <v>153.78</v>
      </c>
      <c r="AA29" s="249"/>
      <c r="AB29" s="244"/>
      <c r="AC29" s="244"/>
      <c r="AD29" s="245">
        <f t="shared" si="7"/>
        <v>0</v>
      </c>
      <c r="AE29" s="244">
        <v>4</v>
      </c>
      <c r="AF29" s="244"/>
      <c r="AG29" s="245">
        <f>($AE$8*AE29+$AF$8*AF29)*B29</f>
        <v>423</v>
      </c>
      <c r="AH29" s="249">
        <v>6</v>
      </c>
      <c r="AI29" s="247">
        <f>$AH$8*AH29*B29</f>
        <v>103.5</v>
      </c>
      <c r="AJ29" s="244"/>
      <c r="AK29" s="247">
        <f t="shared" si="10"/>
        <v>0</v>
      </c>
      <c r="AL29" s="251"/>
      <c r="AM29" s="247">
        <f t="shared" si="11"/>
        <v>0</v>
      </c>
      <c r="AN29" s="249"/>
      <c r="AO29" s="242"/>
      <c r="AP29" s="242">
        <v>4</v>
      </c>
      <c r="AQ29" s="242"/>
      <c r="AR29" s="242"/>
      <c r="AS29" s="242"/>
      <c r="AT29" s="245">
        <f>($AN$8*AN29+$AO$8*AO29+$AP$8*AP29+$AQ$8*AQ29+$AR$8*AR29+$AS$8*AS29)*B29</f>
        <v>84</v>
      </c>
      <c r="AU29" s="244"/>
      <c r="AV29" s="247">
        <f t="shared" si="13"/>
        <v>0</v>
      </c>
      <c r="AW29" s="242">
        <v>20</v>
      </c>
      <c r="AX29" s="242"/>
      <c r="AY29" s="245">
        <f>($AW$8*AW29+$AX$8*AX29)*B29</f>
        <v>135.6</v>
      </c>
      <c r="AZ29" s="242"/>
      <c r="BA29" s="247">
        <f t="shared" si="15"/>
        <v>0</v>
      </c>
      <c r="BB29" s="244"/>
      <c r="BC29" s="247">
        <f t="shared" si="16"/>
        <v>0</v>
      </c>
      <c r="BD29" s="242"/>
      <c r="BE29" s="247">
        <f t="shared" si="17"/>
        <v>0</v>
      </c>
      <c r="BF29" s="249">
        <v>2</v>
      </c>
      <c r="BG29" s="244"/>
      <c r="BH29" s="242"/>
      <c r="BI29" s="247">
        <f t="shared" si="18"/>
        <v>55.38</v>
      </c>
      <c r="BJ29" s="250"/>
      <c r="BK29" s="247">
        <f t="shared" si="19"/>
        <v>0</v>
      </c>
      <c r="BL29" s="252">
        <f t="shared" si="20"/>
        <v>1543.26</v>
      </c>
      <c r="BM29" s="253">
        <f t="shared" si="21"/>
        <v>42.868333333333332</v>
      </c>
      <c r="BN29" s="254"/>
    </row>
    <row r="30" spans="1:66" ht="12.75">
      <c r="A30" s="255" t="s">
        <v>3390</v>
      </c>
      <c r="B30" s="241">
        <v>122</v>
      </c>
      <c r="C30" s="242"/>
      <c r="D30" s="242"/>
      <c r="E30" s="242">
        <v>4</v>
      </c>
      <c r="F30" s="243">
        <f t="shared" si="0"/>
        <v>20496</v>
      </c>
      <c r="G30" s="244">
        <v>0</v>
      </c>
      <c r="H30" s="244"/>
      <c r="I30" s="244"/>
      <c r="J30" s="245">
        <f t="shared" si="1"/>
        <v>0</v>
      </c>
      <c r="K30" s="246">
        <v>6</v>
      </c>
      <c r="L30" s="245">
        <f t="shared" si="2"/>
        <v>38430</v>
      </c>
      <c r="M30" s="244">
        <v>2</v>
      </c>
      <c r="N30" s="247">
        <f>($M$8*M30)*B30</f>
        <v>34145.360000000001</v>
      </c>
      <c r="O30" s="248"/>
      <c r="P30" s="247">
        <f t="shared" si="4"/>
        <v>0</v>
      </c>
      <c r="Q30" s="244"/>
      <c r="R30" s="244">
        <v>2</v>
      </c>
      <c r="S30" s="245">
        <f>($Q$8*Q30+$R$8*R30)*B30</f>
        <v>3660</v>
      </c>
      <c r="T30" s="244"/>
      <c r="U30" s="248">
        <v>2</v>
      </c>
      <c r="V30" s="244"/>
      <c r="W30" s="244"/>
      <c r="X30" s="244"/>
      <c r="Y30" s="244"/>
      <c r="Z30" s="245">
        <f t="shared" si="6"/>
        <v>28706.600000000002</v>
      </c>
      <c r="AA30" s="249"/>
      <c r="AB30" s="244"/>
      <c r="AC30" s="244"/>
      <c r="AD30" s="245">
        <f t="shared" si="7"/>
        <v>0</v>
      </c>
      <c r="AE30" s="244"/>
      <c r="AF30" s="244"/>
      <c r="AG30" s="245">
        <f t="shared" si="8"/>
        <v>0</v>
      </c>
      <c r="AH30" s="251"/>
      <c r="AI30" s="247">
        <f t="shared" si="9"/>
        <v>0</v>
      </c>
      <c r="AJ30" s="244"/>
      <c r="AK30" s="247">
        <f t="shared" si="10"/>
        <v>0</v>
      </c>
      <c r="AL30" s="249"/>
      <c r="AM30" s="247">
        <f t="shared" si="11"/>
        <v>0</v>
      </c>
      <c r="AN30" s="249"/>
      <c r="AO30" s="242"/>
      <c r="AP30" s="242"/>
      <c r="AQ30" s="242"/>
      <c r="AR30" s="242"/>
      <c r="AS30" s="242"/>
      <c r="AT30" s="245">
        <f t="shared" si="12"/>
        <v>0</v>
      </c>
      <c r="AU30" s="244"/>
      <c r="AV30" s="247">
        <f t="shared" si="13"/>
        <v>0</v>
      </c>
      <c r="AW30" s="242"/>
      <c r="AX30" s="242"/>
      <c r="AY30" s="245">
        <f t="shared" si="14"/>
        <v>0</v>
      </c>
      <c r="AZ30" s="242"/>
      <c r="BA30" s="247">
        <f t="shared" si="15"/>
        <v>0</v>
      </c>
      <c r="BB30" s="244"/>
      <c r="BC30" s="247">
        <f t="shared" si="16"/>
        <v>0</v>
      </c>
      <c r="BD30" s="242"/>
      <c r="BE30" s="247">
        <f t="shared" si="17"/>
        <v>0</v>
      </c>
      <c r="BF30" s="249"/>
      <c r="BG30" s="244"/>
      <c r="BH30" s="242"/>
      <c r="BI30" s="247">
        <f t="shared" si="18"/>
        <v>0</v>
      </c>
      <c r="BJ30" s="248"/>
      <c r="BK30" s="247">
        <f t="shared" si="19"/>
        <v>0</v>
      </c>
      <c r="BL30" s="252">
        <f t="shared" si="20"/>
        <v>125437.96</v>
      </c>
      <c r="BM30" s="253">
        <f t="shared" si="21"/>
        <v>85.681666666666672</v>
      </c>
      <c r="BN30" s="254"/>
    </row>
    <row r="31" spans="1:66" ht="12.75">
      <c r="A31" s="260" t="s">
        <v>3391</v>
      </c>
      <c r="B31" s="241">
        <v>115</v>
      </c>
      <c r="C31" s="262"/>
      <c r="D31" s="262"/>
      <c r="E31" s="242">
        <v>4</v>
      </c>
      <c r="F31" s="243">
        <f t="shared" si="0"/>
        <v>19320</v>
      </c>
      <c r="G31" s="244">
        <v>6</v>
      </c>
      <c r="H31" s="244"/>
      <c r="I31" s="244"/>
      <c r="J31" s="245">
        <f t="shared" si="1"/>
        <v>33810</v>
      </c>
      <c r="K31" s="249"/>
      <c r="L31" s="245">
        <f t="shared" si="2"/>
        <v>0</v>
      </c>
      <c r="M31" s="244">
        <v>2</v>
      </c>
      <c r="N31" s="247">
        <f>($M$8*M31)*B31</f>
        <v>32186.2</v>
      </c>
      <c r="O31" s="244"/>
      <c r="P31" s="247">
        <f t="shared" si="4"/>
        <v>0</v>
      </c>
      <c r="Q31" s="248"/>
      <c r="R31" s="244"/>
      <c r="S31" s="247">
        <f t="shared" si="5"/>
        <v>0</v>
      </c>
      <c r="T31" s="248"/>
      <c r="U31" s="244">
        <v>2</v>
      </c>
      <c r="V31" s="244"/>
      <c r="W31" s="244"/>
      <c r="X31" s="244"/>
      <c r="Y31" s="244"/>
      <c r="Z31" s="245">
        <f t="shared" si="6"/>
        <v>27059.5</v>
      </c>
      <c r="AA31" s="249"/>
      <c r="AB31" s="244"/>
      <c r="AC31" s="244"/>
      <c r="AD31" s="245">
        <f t="shared" si="7"/>
        <v>0</v>
      </c>
      <c r="AE31" s="244"/>
      <c r="AF31" s="244"/>
      <c r="AG31" s="245">
        <f t="shared" si="8"/>
        <v>0</v>
      </c>
      <c r="AH31" s="251"/>
      <c r="AI31" s="247">
        <f t="shared" si="9"/>
        <v>0</v>
      </c>
      <c r="AJ31" s="244"/>
      <c r="AK31" s="247">
        <f t="shared" si="10"/>
        <v>0</v>
      </c>
      <c r="AL31" s="249"/>
      <c r="AM31" s="247">
        <f t="shared" si="11"/>
        <v>0</v>
      </c>
      <c r="AN31" s="249"/>
      <c r="AO31" s="242"/>
      <c r="AP31" s="242"/>
      <c r="AQ31" s="242"/>
      <c r="AR31" s="242"/>
      <c r="AS31" s="242"/>
      <c r="AT31" s="245">
        <f t="shared" si="12"/>
        <v>0</v>
      </c>
      <c r="AU31" s="244"/>
      <c r="AV31" s="247">
        <f t="shared" si="13"/>
        <v>0</v>
      </c>
      <c r="AW31" s="242"/>
      <c r="AX31" s="242"/>
      <c r="AY31" s="245">
        <f t="shared" si="14"/>
        <v>0</v>
      </c>
      <c r="AZ31" s="242"/>
      <c r="BA31" s="247">
        <f t="shared" si="15"/>
        <v>0</v>
      </c>
      <c r="BB31" s="244"/>
      <c r="BC31" s="247">
        <f t="shared" si="16"/>
        <v>0</v>
      </c>
      <c r="BD31" s="242"/>
      <c r="BE31" s="247">
        <f t="shared" si="17"/>
        <v>0</v>
      </c>
      <c r="BF31" s="249"/>
      <c r="BG31" s="244"/>
      <c r="BH31" s="242"/>
      <c r="BI31" s="247">
        <f t="shared" si="18"/>
        <v>0</v>
      </c>
      <c r="BJ31" s="244"/>
      <c r="BK31" s="247">
        <f t="shared" si="19"/>
        <v>0</v>
      </c>
      <c r="BL31" s="252">
        <f t="shared" si="20"/>
        <v>112375.7</v>
      </c>
      <c r="BM31" s="253">
        <f t="shared" si="21"/>
        <v>81.431666666666658</v>
      </c>
      <c r="BN31" s="263"/>
    </row>
    <row r="32" spans="1:66" ht="12.75">
      <c r="A32" s="260" t="s">
        <v>3392</v>
      </c>
      <c r="B32" s="256">
        <v>1</v>
      </c>
      <c r="C32" s="262">
        <v>4</v>
      </c>
      <c r="D32" s="262"/>
      <c r="E32" s="242"/>
      <c r="F32" s="243">
        <f t="shared" si="0"/>
        <v>100</v>
      </c>
      <c r="G32" s="242"/>
      <c r="H32" s="244">
        <v>8</v>
      </c>
      <c r="I32" s="244"/>
      <c r="J32" s="245">
        <f t="shared" si="1"/>
        <v>96</v>
      </c>
      <c r="K32" s="251"/>
      <c r="L32" s="245">
        <f t="shared" si="2"/>
        <v>0</v>
      </c>
      <c r="M32" s="244"/>
      <c r="N32" s="247">
        <f t="shared" si="3"/>
        <v>0</v>
      </c>
      <c r="O32" s="251"/>
      <c r="P32" s="247">
        <f t="shared" si="4"/>
        <v>0</v>
      </c>
      <c r="Q32" s="248"/>
      <c r="R32" s="244"/>
      <c r="S32" s="247">
        <f t="shared" si="5"/>
        <v>0</v>
      </c>
      <c r="T32" s="250"/>
      <c r="U32" s="249"/>
      <c r="V32" s="242"/>
      <c r="W32" s="242"/>
      <c r="X32" s="249">
        <v>2</v>
      </c>
      <c r="Y32" s="249"/>
      <c r="Z32" s="245">
        <f t="shared" si="6"/>
        <v>51.26</v>
      </c>
      <c r="AA32" s="249"/>
      <c r="AB32" s="244"/>
      <c r="AC32" s="244">
        <v>1</v>
      </c>
      <c r="AD32" s="245">
        <f>($AA$8*AA32+$AB$8*AB32+$AC$8*AC32)*B32</f>
        <v>26</v>
      </c>
      <c r="AE32" s="244">
        <v>2</v>
      </c>
      <c r="AF32" s="244"/>
      <c r="AG32" s="245">
        <f>($AE$8*AE32+$AF$8*AF32)*B32</f>
        <v>70.5</v>
      </c>
      <c r="AH32" s="251"/>
      <c r="AI32" s="247">
        <f t="shared" si="9"/>
        <v>0</v>
      </c>
      <c r="AJ32" s="244"/>
      <c r="AK32" s="247">
        <f t="shared" si="10"/>
        <v>0</v>
      </c>
      <c r="AL32" s="251"/>
      <c r="AM32" s="247">
        <f t="shared" si="11"/>
        <v>0</v>
      </c>
      <c r="AN32" s="249"/>
      <c r="AO32" s="242"/>
      <c r="AP32" s="242"/>
      <c r="AQ32" s="242"/>
      <c r="AR32" s="242"/>
      <c r="AS32" s="242">
        <v>4</v>
      </c>
      <c r="AT32" s="245">
        <f>($AN$8*AN32+$AO$8*AO32+$AP$8*AP32+$AQ$8*AQ32+$AR$8*AR32+$AS$8*AS32)*B32</f>
        <v>30</v>
      </c>
      <c r="AU32" s="244"/>
      <c r="AV32" s="247">
        <f>$AU$8*AU32*B32</f>
        <v>0</v>
      </c>
      <c r="AW32" s="242">
        <v>48</v>
      </c>
      <c r="AX32" s="242"/>
      <c r="AY32" s="245">
        <f>($AW$8*AW32+$AX$8*AX32)*B32</f>
        <v>108.47999999999999</v>
      </c>
      <c r="AZ32" s="242">
        <v>1</v>
      </c>
      <c r="BA32" s="247">
        <f t="shared" si="15"/>
        <v>22</v>
      </c>
      <c r="BB32" s="244">
        <v>1</v>
      </c>
      <c r="BC32" s="247">
        <f t="shared" si="16"/>
        <v>28.65</v>
      </c>
      <c r="BD32" s="242">
        <v>2</v>
      </c>
      <c r="BE32" s="247">
        <f t="shared" si="17"/>
        <v>68.099999999999994</v>
      </c>
      <c r="BF32" s="249"/>
      <c r="BG32" s="244">
        <v>2</v>
      </c>
      <c r="BH32" s="242"/>
      <c r="BI32" s="247">
        <f t="shared" si="18"/>
        <v>26.76</v>
      </c>
      <c r="BJ32" s="249"/>
      <c r="BK32" s="247">
        <f t="shared" si="19"/>
        <v>0</v>
      </c>
      <c r="BL32" s="252">
        <f t="shared" si="20"/>
        <v>627.75</v>
      </c>
      <c r="BM32" s="253">
        <f t="shared" si="21"/>
        <v>52.3125</v>
      </c>
      <c r="BN32" s="263"/>
    </row>
    <row r="33" spans="1:66" ht="12.75">
      <c r="A33" s="260" t="s">
        <v>3393</v>
      </c>
      <c r="B33" s="241">
        <v>1</v>
      </c>
      <c r="C33" s="262"/>
      <c r="D33" s="262">
        <v>4</v>
      </c>
      <c r="E33" s="242"/>
      <c r="F33" s="243">
        <f t="shared" si="0"/>
        <v>180</v>
      </c>
      <c r="G33" s="244"/>
      <c r="H33" s="244"/>
      <c r="I33" s="244">
        <v>6</v>
      </c>
      <c r="J33" s="245">
        <f t="shared" si="1"/>
        <v>168</v>
      </c>
      <c r="K33" s="249"/>
      <c r="L33" s="245">
        <f t="shared" si="2"/>
        <v>0</v>
      </c>
      <c r="M33" s="244"/>
      <c r="N33" s="247">
        <f t="shared" si="3"/>
        <v>0</v>
      </c>
      <c r="O33" s="244"/>
      <c r="P33" s="247">
        <f t="shared" si="4"/>
        <v>0</v>
      </c>
      <c r="Q33" s="248"/>
      <c r="R33" s="244"/>
      <c r="S33" s="247">
        <f t="shared" si="5"/>
        <v>0</v>
      </c>
      <c r="T33" s="248">
        <v>2</v>
      </c>
      <c r="U33" s="244"/>
      <c r="V33" s="244"/>
      <c r="W33" s="244"/>
      <c r="X33" s="244"/>
      <c r="Y33" s="244"/>
      <c r="Z33" s="245">
        <f t="shared" si="6"/>
        <v>82.78</v>
      </c>
      <c r="AA33" s="249"/>
      <c r="AB33" s="244"/>
      <c r="AC33" s="244"/>
      <c r="AD33" s="245">
        <f t="shared" si="7"/>
        <v>0</v>
      </c>
      <c r="AE33" s="244"/>
      <c r="AF33" s="244"/>
      <c r="AG33" s="245">
        <f t="shared" si="8"/>
        <v>0</v>
      </c>
      <c r="AH33" s="251"/>
      <c r="AI33" s="247">
        <f t="shared" si="9"/>
        <v>0</v>
      </c>
      <c r="AJ33" s="244"/>
      <c r="AK33" s="247">
        <f t="shared" si="10"/>
        <v>0</v>
      </c>
      <c r="AL33" s="249"/>
      <c r="AM33" s="247">
        <f t="shared" si="11"/>
        <v>0</v>
      </c>
      <c r="AN33" s="249"/>
      <c r="AO33" s="242"/>
      <c r="AP33" s="242"/>
      <c r="AQ33" s="242"/>
      <c r="AR33" s="242"/>
      <c r="AS33" s="242"/>
      <c r="AT33" s="245">
        <f t="shared" si="12"/>
        <v>0</v>
      </c>
      <c r="AU33" s="244"/>
      <c r="AV33" s="247">
        <f t="shared" si="13"/>
        <v>0</v>
      </c>
      <c r="AW33" s="242"/>
      <c r="AX33" s="242"/>
      <c r="AY33" s="245">
        <f t="shared" si="14"/>
        <v>0</v>
      </c>
      <c r="AZ33" s="242"/>
      <c r="BA33" s="247">
        <f t="shared" si="15"/>
        <v>0</v>
      </c>
      <c r="BB33" s="244"/>
      <c r="BC33" s="247">
        <f t="shared" si="16"/>
        <v>0</v>
      </c>
      <c r="BD33" s="242"/>
      <c r="BE33" s="247">
        <f t="shared" si="17"/>
        <v>0</v>
      </c>
      <c r="BF33" s="249"/>
      <c r="BG33" s="244"/>
      <c r="BH33" s="242"/>
      <c r="BI33" s="247">
        <f t="shared" si="18"/>
        <v>0</v>
      </c>
      <c r="BJ33" s="244"/>
      <c r="BK33" s="247">
        <f t="shared" si="19"/>
        <v>0</v>
      </c>
      <c r="BL33" s="252">
        <f t="shared" si="20"/>
        <v>430.78</v>
      </c>
      <c r="BM33" s="253">
        <f t="shared" si="21"/>
        <v>35.898333333333333</v>
      </c>
      <c r="BN33" s="263"/>
    </row>
    <row r="34" spans="1:66" ht="12.75">
      <c r="A34" s="264" t="s">
        <v>3394</v>
      </c>
      <c r="B34" s="241">
        <v>4</v>
      </c>
      <c r="C34" s="248"/>
      <c r="D34" s="262">
        <v>4</v>
      </c>
      <c r="E34" s="242">
        <v>2</v>
      </c>
      <c r="F34" s="243">
        <f t="shared" si="0"/>
        <v>1056</v>
      </c>
      <c r="G34" s="244">
        <v>2</v>
      </c>
      <c r="H34" s="244"/>
      <c r="I34" s="244">
        <v>6</v>
      </c>
      <c r="J34" s="245">
        <f t="shared" si="1"/>
        <v>1064</v>
      </c>
      <c r="K34" s="249"/>
      <c r="L34" s="245">
        <f t="shared" si="2"/>
        <v>0</v>
      </c>
      <c r="M34" s="244"/>
      <c r="N34" s="247">
        <f t="shared" si="3"/>
        <v>0</v>
      </c>
      <c r="O34" s="244"/>
      <c r="P34" s="247">
        <f t="shared" si="4"/>
        <v>0</v>
      </c>
      <c r="Q34" s="248"/>
      <c r="R34" s="244"/>
      <c r="S34" s="247">
        <f t="shared" si="5"/>
        <v>0</v>
      </c>
      <c r="T34" s="248">
        <v>2</v>
      </c>
      <c r="U34" s="244">
        <v>2</v>
      </c>
      <c r="V34" s="244"/>
      <c r="W34" s="244"/>
      <c r="X34" s="244"/>
      <c r="Y34" s="244"/>
      <c r="Z34" s="245">
        <f t="shared" si="6"/>
        <v>1272.3200000000002</v>
      </c>
      <c r="AA34" s="249"/>
      <c r="AB34" s="244"/>
      <c r="AC34" s="244"/>
      <c r="AD34" s="245">
        <f t="shared" si="7"/>
        <v>0</v>
      </c>
      <c r="AE34" s="244"/>
      <c r="AF34" s="244"/>
      <c r="AG34" s="245">
        <f t="shared" si="8"/>
        <v>0</v>
      </c>
      <c r="AH34" s="251"/>
      <c r="AI34" s="247">
        <f t="shared" si="9"/>
        <v>0</v>
      </c>
      <c r="AJ34" s="244"/>
      <c r="AK34" s="247">
        <f t="shared" si="10"/>
        <v>0</v>
      </c>
      <c r="AL34" s="249"/>
      <c r="AM34" s="247">
        <f t="shared" si="11"/>
        <v>0</v>
      </c>
      <c r="AN34" s="249"/>
      <c r="AO34" s="242"/>
      <c r="AP34" s="242"/>
      <c r="AQ34" s="242"/>
      <c r="AR34" s="242"/>
      <c r="AS34" s="242"/>
      <c r="AT34" s="245">
        <f t="shared" si="12"/>
        <v>0</v>
      </c>
      <c r="AU34" s="244"/>
      <c r="AV34" s="247">
        <f t="shared" si="13"/>
        <v>0</v>
      </c>
      <c r="AW34" s="242"/>
      <c r="AX34" s="242"/>
      <c r="AY34" s="245">
        <f t="shared" si="14"/>
        <v>0</v>
      </c>
      <c r="AZ34" s="242"/>
      <c r="BA34" s="247">
        <f t="shared" si="15"/>
        <v>0</v>
      </c>
      <c r="BB34" s="244"/>
      <c r="BC34" s="247">
        <f t="shared" si="16"/>
        <v>0</v>
      </c>
      <c r="BD34" s="242"/>
      <c r="BE34" s="247">
        <f t="shared" si="17"/>
        <v>0</v>
      </c>
      <c r="BF34" s="249"/>
      <c r="BG34" s="244"/>
      <c r="BH34" s="242"/>
      <c r="BI34" s="247">
        <f t="shared" si="18"/>
        <v>0</v>
      </c>
      <c r="BJ34" s="244"/>
      <c r="BK34" s="247">
        <f t="shared" si="19"/>
        <v>0</v>
      </c>
      <c r="BL34" s="252">
        <f t="shared" si="20"/>
        <v>3392.32</v>
      </c>
      <c r="BM34" s="253">
        <f t="shared" si="21"/>
        <v>70.673333333333332</v>
      </c>
      <c r="BN34" s="254"/>
    </row>
    <row r="35" spans="1:66" ht="12.75">
      <c r="A35" s="265" t="s">
        <v>3395</v>
      </c>
      <c r="B35" s="241">
        <v>1</v>
      </c>
      <c r="C35" s="262"/>
      <c r="D35" s="262">
        <v>4</v>
      </c>
      <c r="E35" s="242"/>
      <c r="F35" s="243">
        <f t="shared" si="0"/>
        <v>180</v>
      </c>
      <c r="G35" s="244"/>
      <c r="H35" s="244"/>
      <c r="I35" s="244">
        <v>6</v>
      </c>
      <c r="J35" s="245">
        <f>($G$8*G35+$H$8*H35+$I$8*I35)*B35</f>
        <v>168</v>
      </c>
      <c r="K35" s="249"/>
      <c r="L35" s="245">
        <f t="shared" si="2"/>
        <v>0</v>
      </c>
      <c r="M35" s="244"/>
      <c r="N35" s="247">
        <f t="shared" si="3"/>
        <v>0</v>
      </c>
      <c r="O35" s="244"/>
      <c r="P35" s="247">
        <f t="shared" si="4"/>
        <v>0</v>
      </c>
      <c r="Q35" s="248"/>
      <c r="R35" s="244"/>
      <c r="S35" s="247">
        <f t="shared" si="5"/>
        <v>0</v>
      </c>
      <c r="T35" s="248">
        <v>2</v>
      </c>
      <c r="U35" s="244"/>
      <c r="V35" s="244"/>
      <c r="W35" s="244"/>
      <c r="X35" s="244"/>
      <c r="Y35" s="244"/>
      <c r="Z35" s="245">
        <f>($T$8*T35+$U$8*U35+$V$8*V35+$W$8*W35+$X$8*X35+$Y$8*Y35)*B35</f>
        <v>82.78</v>
      </c>
      <c r="AA35" s="249"/>
      <c r="AB35" s="244"/>
      <c r="AC35" s="244"/>
      <c r="AD35" s="245">
        <f t="shared" si="7"/>
        <v>0</v>
      </c>
      <c r="AE35" s="244"/>
      <c r="AF35" s="244"/>
      <c r="AG35" s="245">
        <f t="shared" si="8"/>
        <v>0</v>
      </c>
      <c r="AH35" s="251"/>
      <c r="AI35" s="247">
        <f t="shared" si="9"/>
        <v>0</v>
      </c>
      <c r="AJ35" s="244"/>
      <c r="AK35" s="247">
        <f t="shared" si="10"/>
        <v>0</v>
      </c>
      <c r="AL35" s="249"/>
      <c r="AM35" s="247">
        <f t="shared" si="11"/>
        <v>0</v>
      </c>
      <c r="AN35" s="249"/>
      <c r="AO35" s="242"/>
      <c r="AP35" s="242"/>
      <c r="AQ35" s="242"/>
      <c r="AR35" s="242"/>
      <c r="AS35" s="242"/>
      <c r="AT35" s="245">
        <f t="shared" si="12"/>
        <v>0</v>
      </c>
      <c r="AU35" s="244"/>
      <c r="AV35" s="247">
        <f t="shared" si="13"/>
        <v>0</v>
      </c>
      <c r="AW35" s="242"/>
      <c r="AX35" s="242"/>
      <c r="AY35" s="245">
        <f t="shared" si="14"/>
        <v>0</v>
      </c>
      <c r="AZ35" s="242"/>
      <c r="BA35" s="247">
        <f t="shared" si="15"/>
        <v>0</v>
      </c>
      <c r="BB35" s="244"/>
      <c r="BC35" s="247">
        <f t="shared" si="16"/>
        <v>0</v>
      </c>
      <c r="BD35" s="242"/>
      <c r="BE35" s="247">
        <f t="shared" si="17"/>
        <v>0</v>
      </c>
      <c r="BF35" s="249"/>
      <c r="BG35" s="244"/>
      <c r="BH35" s="242"/>
      <c r="BI35" s="247">
        <f t="shared" si="18"/>
        <v>0</v>
      </c>
      <c r="BJ35" s="244"/>
      <c r="BK35" s="247">
        <f t="shared" si="19"/>
        <v>0</v>
      </c>
      <c r="BL35" s="252">
        <f t="shared" si="20"/>
        <v>430.78</v>
      </c>
      <c r="BM35" s="253">
        <f t="shared" si="21"/>
        <v>35.898333333333333</v>
      </c>
      <c r="BN35" s="254"/>
    </row>
    <row r="36" spans="1:66" ht="12.75">
      <c r="A36" s="265" t="s">
        <v>3396</v>
      </c>
      <c r="B36" s="241">
        <v>18</v>
      </c>
      <c r="C36" s="262"/>
      <c r="D36" s="262">
        <v>4</v>
      </c>
      <c r="E36" s="242"/>
      <c r="F36" s="243">
        <f t="shared" si="0"/>
        <v>3240</v>
      </c>
      <c r="G36" s="244"/>
      <c r="H36" s="244"/>
      <c r="I36" s="244">
        <v>6</v>
      </c>
      <c r="J36" s="245">
        <f>($G$8*G36+$H$8*H36+$I$8*I36)*B36</f>
        <v>3024</v>
      </c>
      <c r="K36" s="249"/>
      <c r="L36" s="245">
        <f t="shared" si="2"/>
        <v>0</v>
      </c>
      <c r="M36" s="244"/>
      <c r="N36" s="247">
        <f t="shared" si="3"/>
        <v>0</v>
      </c>
      <c r="O36" s="244"/>
      <c r="P36" s="247">
        <f t="shared" si="4"/>
        <v>0</v>
      </c>
      <c r="Q36" s="248"/>
      <c r="R36" s="244"/>
      <c r="S36" s="247">
        <f t="shared" si="5"/>
        <v>0</v>
      </c>
      <c r="T36" s="248">
        <v>2</v>
      </c>
      <c r="U36" s="244"/>
      <c r="V36" s="244"/>
      <c r="W36" s="244"/>
      <c r="X36" s="244"/>
      <c r="Y36" s="244"/>
      <c r="Z36" s="245">
        <f>($T$8*T36+$U$8*U36+$V$8*V36+$W$8*W36+$X$8*X36+$Y$8*Y36)*B36</f>
        <v>1490.04</v>
      </c>
      <c r="AA36" s="249"/>
      <c r="AB36" s="244"/>
      <c r="AC36" s="244"/>
      <c r="AD36" s="245">
        <f t="shared" si="7"/>
        <v>0</v>
      </c>
      <c r="AE36" s="244"/>
      <c r="AF36" s="244"/>
      <c r="AG36" s="245">
        <f t="shared" si="8"/>
        <v>0</v>
      </c>
      <c r="AH36" s="251"/>
      <c r="AI36" s="247">
        <f t="shared" si="9"/>
        <v>0</v>
      </c>
      <c r="AJ36" s="244"/>
      <c r="AK36" s="247">
        <f t="shared" si="10"/>
        <v>0</v>
      </c>
      <c r="AL36" s="249"/>
      <c r="AM36" s="247">
        <f t="shared" si="11"/>
        <v>0</v>
      </c>
      <c r="AN36" s="249"/>
      <c r="AO36" s="242"/>
      <c r="AP36" s="242"/>
      <c r="AQ36" s="242"/>
      <c r="AR36" s="242"/>
      <c r="AS36" s="242"/>
      <c r="AT36" s="245">
        <f t="shared" si="12"/>
        <v>0</v>
      </c>
      <c r="AU36" s="244"/>
      <c r="AV36" s="247">
        <f t="shared" si="13"/>
        <v>0</v>
      </c>
      <c r="AW36" s="242"/>
      <c r="AX36" s="242"/>
      <c r="AY36" s="245">
        <f t="shared" si="14"/>
        <v>0</v>
      </c>
      <c r="AZ36" s="242"/>
      <c r="BA36" s="247">
        <f t="shared" si="15"/>
        <v>0</v>
      </c>
      <c r="BB36" s="244"/>
      <c r="BC36" s="247">
        <f t="shared" si="16"/>
        <v>0</v>
      </c>
      <c r="BD36" s="242"/>
      <c r="BE36" s="247">
        <f t="shared" si="17"/>
        <v>0</v>
      </c>
      <c r="BF36" s="249"/>
      <c r="BG36" s="244"/>
      <c r="BH36" s="242"/>
      <c r="BI36" s="247">
        <f t="shared" si="18"/>
        <v>0</v>
      </c>
      <c r="BJ36" s="244"/>
      <c r="BK36" s="247">
        <f t="shared" si="19"/>
        <v>0</v>
      </c>
      <c r="BL36" s="252">
        <f t="shared" si="20"/>
        <v>7754.04</v>
      </c>
      <c r="BM36" s="253">
        <f t="shared" si="21"/>
        <v>35.898333333333333</v>
      </c>
      <c r="BN36" s="254"/>
    </row>
    <row r="37" spans="1:66" ht="12.75">
      <c r="A37" s="265" t="s">
        <v>3397</v>
      </c>
      <c r="B37" s="241">
        <v>6</v>
      </c>
      <c r="C37" s="262"/>
      <c r="D37" s="262">
        <v>4</v>
      </c>
      <c r="E37" s="242"/>
      <c r="F37" s="243">
        <f t="shared" si="0"/>
        <v>1080</v>
      </c>
      <c r="G37" s="244"/>
      <c r="H37" s="244"/>
      <c r="I37" s="244">
        <v>6</v>
      </c>
      <c r="J37" s="245">
        <f t="shared" si="1"/>
        <v>1008</v>
      </c>
      <c r="K37" s="249"/>
      <c r="L37" s="245">
        <f t="shared" si="2"/>
        <v>0</v>
      </c>
      <c r="M37" s="244"/>
      <c r="N37" s="247">
        <f t="shared" si="3"/>
        <v>0</v>
      </c>
      <c r="O37" s="244"/>
      <c r="P37" s="247">
        <f t="shared" si="4"/>
        <v>0</v>
      </c>
      <c r="Q37" s="248"/>
      <c r="R37" s="244"/>
      <c r="S37" s="247">
        <f t="shared" si="5"/>
        <v>0</v>
      </c>
      <c r="T37" s="248">
        <v>2</v>
      </c>
      <c r="U37" s="244"/>
      <c r="V37" s="244"/>
      <c r="W37" s="244"/>
      <c r="X37" s="244"/>
      <c r="Y37" s="244"/>
      <c r="Z37" s="245">
        <f t="shared" si="6"/>
        <v>496.68</v>
      </c>
      <c r="AA37" s="249"/>
      <c r="AB37" s="244"/>
      <c r="AC37" s="244"/>
      <c r="AD37" s="245">
        <f t="shared" si="7"/>
        <v>0</v>
      </c>
      <c r="AE37" s="244"/>
      <c r="AF37" s="244"/>
      <c r="AG37" s="245">
        <f t="shared" si="8"/>
        <v>0</v>
      </c>
      <c r="AH37" s="251"/>
      <c r="AI37" s="247">
        <f t="shared" si="9"/>
        <v>0</v>
      </c>
      <c r="AJ37" s="244"/>
      <c r="AK37" s="247">
        <f t="shared" si="10"/>
        <v>0</v>
      </c>
      <c r="AL37" s="249"/>
      <c r="AM37" s="247">
        <f t="shared" si="11"/>
        <v>0</v>
      </c>
      <c r="AN37" s="249"/>
      <c r="AO37" s="242"/>
      <c r="AP37" s="242"/>
      <c r="AQ37" s="242"/>
      <c r="AR37" s="242"/>
      <c r="AS37" s="242"/>
      <c r="AT37" s="245">
        <f t="shared" si="12"/>
        <v>0</v>
      </c>
      <c r="AU37" s="244"/>
      <c r="AV37" s="247">
        <f t="shared" si="13"/>
        <v>0</v>
      </c>
      <c r="AW37" s="242"/>
      <c r="AX37" s="242"/>
      <c r="AY37" s="245">
        <f t="shared" si="14"/>
        <v>0</v>
      </c>
      <c r="AZ37" s="242"/>
      <c r="BA37" s="247">
        <f t="shared" si="15"/>
        <v>0</v>
      </c>
      <c r="BB37" s="244"/>
      <c r="BC37" s="247">
        <f t="shared" si="16"/>
        <v>0</v>
      </c>
      <c r="BD37" s="242"/>
      <c r="BE37" s="247">
        <f t="shared" si="17"/>
        <v>0</v>
      </c>
      <c r="BF37" s="249"/>
      <c r="BG37" s="244"/>
      <c r="BH37" s="242"/>
      <c r="BI37" s="247">
        <f t="shared" si="18"/>
        <v>0</v>
      </c>
      <c r="BJ37" s="244"/>
      <c r="BK37" s="247">
        <f t="shared" si="19"/>
        <v>0</v>
      </c>
      <c r="BL37" s="252">
        <f t="shared" si="20"/>
        <v>2584.6799999999998</v>
      </c>
      <c r="BM37" s="253">
        <f t="shared" si="21"/>
        <v>35.898333333333333</v>
      </c>
      <c r="BN37" s="254"/>
    </row>
    <row r="38" spans="1:66" ht="12.75">
      <c r="A38" s="265" t="s">
        <v>3398</v>
      </c>
      <c r="B38" s="241">
        <v>6</v>
      </c>
      <c r="C38" s="262"/>
      <c r="D38" s="262">
        <v>4</v>
      </c>
      <c r="E38" s="242"/>
      <c r="F38" s="243">
        <f t="shared" si="0"/>
        <v>1080</v>
      </c>
      <c r="G38" s="244"/>
      <c r="H38" s="244"/>
      <c r="I38" s="244">
        <v>6</v>
      </c>
      <c r="J38" s="245">
        <f t="shared" si="1"/>
        <v>1008</v>
      </c>
      <c r="K38" s="249"/>
      <c r="L38" s="245">
        <f t="shared" si="2"/>
        <v>0</v>
      </c>
      <c r="M38" s="244"/>
      <c r="N38" s="247">
        <f t="shared" si="3"/>
        <v>0</v>
      </c>
      <c r="O38" s="244"/>
      <c r="P38" s="247">
        <f t="shared" si="4"/>
        <v>0</v>
      </c>
      <c r="Q38" s="248"/>
      <c r="R38" s="244"/>
      <c r="S38" s="247">
        <f t="shared" si="5"/>
        <v>0</v>
      </c>
      <c r="T38" s="248">
        <v>2</v>
      </c>
      <c r="U38" s="244"/>
      <c r="V38" s="244"/>
      <c r="W38" s="244"/>
      <c r="X38" s="244"/>
      <c r="Y38" s="244"/>
      <c r="Z38" s="245">
        <f t="shared" si="6"/>
        <v>496.68</v>
      </c>
      <c r="AA38" s="249"/>
      <c r="AB38" s="244"/>
      <c r="AC38" s="244"/>
      <c r="AD38" s="245">
        <f t="shared" si="7"/>
        <v>0</v>
      </c>
      <c r="AE38" s="244"/>
      <c r="AF38" s="244"/>
      <c r="AG38" s="245">
        <f t="shared" si="8"/>
        <v>0</v>
      </c>
      <c r="AH38" s="251"/>
      <c r="AI38" s="247">
        <f t="shared" si="9"/>
        <v>0</v>
      </c>
      <c r="AJ38" s="244"/>
      <c r="AK38" s="247">
        <f t="shared" si="10"/>
        <v>0</v>
      </c>
      <c r="AL38" s="249"/>
      <c r="AM38" s="247">
        <f t="shared" si="11"/>
        <v>0</v>
      </c>
      <c r="AN38" s="249"/>
      <c r="AO38" s="242"/>
      <c r="AP38" s="242"/>
      <c r="AQ38" s="242"/>
      <c r="AR38" s="242"/>
      <c r="AS38" s="242"/>
      <c r="AT38" s="245">
        <f t="shared" si="12"/>
        <v>0</v>
      </c>
      <c r="AU38" s="244"/>
      <c r="AV38" s="247">
        <f t="shared" si="13"/>
        <v>0</v>
      </c>
      <c r="AW38" s="242"/>
      <c r="AX38" s="242"/>
      <c r="AY38" s="245">
        <f t="shared" si="14"/>
        <v>0</v>
      </c>
      <c r="AZ38" s="242"/>
      <c r="BA38" s="247">
        <f t="shared" si="15"/>
        <v>0</v>
      </c>
      <c r="BB38" s="244"/>
      <c r="BC38" s="247">
        <f t="shared" si="16"/>
        <v>0</v>
      </c>
      <c r="BD38" s="242"/>
      <c r="BE38" s="247">
        <f t="shared" si="17"/>
        <v>0</v>
      </c>
      <c r="BF38" s="249"/>
      <c r="BG38" s="244"/>
      <c r="BH38" s="242"/>
      <c r="BI38" s="247">
        <f t="shared" si="18"/>
        <v>0</v>
      </c>
      <c r="BJ38" s="244"/>
      <c r="BK38" s="247">
        <f t="shared" si="19"/>
        <v>0</v>
      </c>
      <c r="BL38" s="252">
        <f t="shared" si="20"/>
        <v>2584.6799999999998</v>
      </c>
      <c r="BM38" s="253">
        <f t="shared" si="21"/>
        <v>35.898333333333333</v>
      </c>
      <c r="BN38" s="254"/>
    </row>
    <row r="39" spans="1:66" ht="12.75">
      <c r="A39" s="260" t="s">
        <v>3399</v>
      </c>
      <c r="B39" s="256">
        <v>1</v>
      </c>
      <c r="C39" s="262">
        <v>4</v>
      </c>
      <c r="D39" s="262"/>
      <c r="E39" s="242"/>
      <c r="F39" s="243">
        <f>($C$8*C39+$D$8*D39+$E$8*E39)*B39</f>
        <v>100</v>
      </c>
      <c r="G39" s="242"/>
      <c r="H39" s="244">
        <v>8</v>
      </c>
      <c r="I39" s="244"/>
      <c r="J39" s="245">
        <f>($G$8*G39+$H$8*H39+$I$8*I39)*B39</f>
        <v>96</v>
      </c>
      <c r="K39" s="251"/>
      <c r="L39" s="245">
        <f t="shared" si="2"/>
        <v>0</v>
      </c>
      <c r="M39" s="244"/>
      <c r="N39" s="247">
        <f t="shared" si="3"/>
        <v>0</v>
      </c>
      <c r="O39" s="251"/>
      <c r="P39" s="247">
        <f t="shared" si="4"/>
        <v>0</v>
      </c>
      <c r="Q39" s="248"/>
      <c r="R39" s="244"/>
      <c r="S39" s="247">
        <f t="shared" si="5"/>
        <v>0</v>
      </c>
      <c r="T39" s="250"/>
      <c r="U39" s="249"/>
      <c r="V39" s="242"/>
      <c r="W39" s="242"/>
      <c r="X39" s="249">
        <v>2</v>
      </c>
      <c r="Y39" s="249"/>
      <c r="Z39" s="245">
        <f t="shared" si="6"/>
        <v>51.26</v>
      </c>
      <c r="AA39" s="249"/>
      <c r="AB39" s="244"/>
      <c r="AC39" s="244"/>
      <c r="AD39" s="245">
        <f t="shared" si="7"/>
        <v>0</v>
      </c>
      <c r="AE39" s="244">
        <v>4</v>
      </c>
      <c r="AF39" s="244"/>
      <c r="AG39" s="245">
        <f>($AE$8*AE39+$AF$8*AF39)*B39</f>
        <v>141</v>
      </c>
      <c r="AH39" s="251"/>
      <c r="AI39" s="247">
        <f t="shared" si="9"/>
        <v>0</v>
      </c>
      <c r="AJ39" s="244"/>
      <c r="AK39" s="247">
        <f t="shared" si="10"/>
        <v>0</v>
      </c>
      <c r="AL39" s="251"/>
      <c r="AM39" s="247">
        <f t="shared" si="11"/>
        <v>0</v>
      </c>
      <c r="AN39" s="249">
        <v>4</v>
      </c>
      <c r="AO39" s="242"/>
      <c r="AP39" s="242"/>
      <c r="AQ39" s="242"/>
      <c r="AR39" s="242"/>
      <c r="AS39" s="242"/>
      <c r="AT39" s="245">
        <f>($AN$8*AN39+$AO$8*AO39+$AP$8*AP39+$AQ$8*AQ39+$AR$8*AR39+$AS$8*AS39)*B39</f>
        <v>124</v>
      </c>
      <c r="AU39" s="244"/>
      <c r="AV39" s="247">
        <f t="shared" si="13"/>
        <v>0</v>
      </c>
      <c r="AW39" s="242"/>
      <c r="AX39" s="242"/>
      <c r="AY39" s="245">
        <f t="shared" si="14"/>
        <v>0</v>
      </c>
      <c r="AZ39" s="242"/>
      <c r="BA39" s="247">
        <f t="shared" si="15"/>
        <v>0</v>
      </c>
      <c r="BB39" s="244"/>
      <c r="BC39" s="247">
        <f t="shared" si="16"/>
        <v>0</v>
      </c>
      <c r="BD39" s="242">
        <v>2</v>
      </c>
      <c r="BE39" s="247">
        <f t="shared" si="17"/>
        <v>68.099999999999994</v>
      </c>
      <c r="BF39" s="249">
        <v>2</v>
      </c>
      <c r="BG39" s="244"/>
      <c r="BH39" s="242"/>
      <c r="BI39" s="247">
        <f t="shared" si="18"/>
        <v>18.46</v>
      </c>
      <c r="BJ39" s="249"/>
      <c r="BK39" s="247">
        <f t="shared" si="19"/>
        <v>0</v>
      </c>
      <c r="BL39" s="252">
        <f t="shared" si="20"/>
        <v>598.82000000000005</v>
      </c>
      <c r="BM39" s="253">
        <f t="shared" si="21"/>
        <v>49.901666666666671</v>
      </c>
      <c r="BN39" s="254"/>
    </row>
    <row r="40" spans="1:66" ht="12.75">
      <c r="A40" s="260" t="s">
        <v>3400</v>
      </c>
      <c r="B40" s="259">
        <v>6</v>
      </c>
      <c r="C40" s="262"/>
      <c r="D40" s="262"/>
      <c r="E40" s="242">
        <v>4</v>
      </c>
      <c r="F40" s="243">
        <f t="shared" si="0"/>
        <v>1008</v>
      </c>
      <c r="G40" s="244">
        <v>6</v>
      </c>
      <c r="H40" s="244"/>
      <c r="I40" s="244">
        <v>0</v>
      </c>
      <c r="J40" s="245">
        <f>($G$8*G40+$H$8*H40+$I$8*I40)*B40</f>
        <v>1764</v>
      </c>
      <c r="K40" s="249"/>
      <c r="L40" s="245">
        <f t="shared" si="2"/>
        <v>0</v>
      </c>
      <c r="M40" s="244">
        <v>2</v>
      </c>
      <c r="N40" s="247">
        <f t="shared" si="3"/>
        <v>1679.28</v>
      </c>
      <c r="O40" s="244"/>
      <c r="P40" s="247">
        <f t="shared" si="4"/>
        <v>0</v>
      </c>
      <c r="Q40" s="248"/>
      <c r="R40" s="244"/>
      <c r="S40" s="247">
        <f t="shared" si="5"/>
        <v>0</v>
      </c>
      <c r="T40" s="248"/>
      <c r="U40" s="244">
        <v>2</v>
      </c>
      <c r="V40" s="244"/>
      <c r="W40" s="244"/>
      <c r="X40" s="244"/>
      <c r="Y40" s="244"/>
      <c r="Z40" s="245">
        <f t="shared" si="6"/>
        <v>1411.8000000000002</v>
      </c>
      <c r="AA40" s="249"/>
      <c r="AB40" s="244"/>
      <c r="AC40" s="244"/>
      <c r="AD40" s="245">
        <f t="shared" si="7"/>
        <v>0</v>
      </c>
      <c r="AE40" s="244"/>
      <c r="AF40" s="244"/>
      <c r="AG40" s="245">
        <f t="shared" si="8"/>
        <v>0</v>
      </c>
      <c r="AH40" s="251"/>
      <c r="AI40" s="247">
        <f t="shared" si="9"/>
        <v>0</v>
      </c>
      <c r="AJ40" s="244"/>
      <c r="AK40" s="247">
        <f t="shared" si="10"/>
        <v>0</v>
      </c>
      <c r="AL40" s="249"/>
      <c r="AM40" s="247">
        <f t="shared" si="11"/>
        <v>0</v>
      </c>
      <c r="AN40" s="249"/>
      <c r="AO40" s="242"/>
      <c r="AP40" s="242"/>
      <c r="AQ40" s="242"/>
      <c r="AR40" s="242"/>
      <c r="AS40" s="242"/>
      <c r="AT40" s="245">
        <f t="shared" si="12"/>
        <v>0</v>
      </c>
      <c r="AU40" s="244"/>
      <c r="AV40" s="247">
        <f t="shared" si="13"/>
        <v>0</v>
      </c>
      <c r="AW40" s="242"/>
      <c r="AX40" s="242"/>
      <c r="AY40" s="245">
        <f t="shared" si="14"/>
        <v>0</v>
      </c>
      <c r="AZ40" s="242"/>
      <c r="BA40" s="247">
        <f t="shared" si="15"/>
        <v>0</v>
      </c>
      <c r="BB40" s="244"/>
      <c r="BC40" s="247">
        <f t="shared" si="16"/>
        <v>0</v>
      </c>
      <c r="BD40" s="242"/>
      <c r="BE40" s="247">
        <f t="shared" si="17"/>
        <v>0</v>
      </c>
      <c r="BF40" s="249"/>
      <c r="BG40" s="244"/>
      <c r="BH40" s="242"/>
      <c r="BI40" s="247">
        <f t="shared" si="18"/>
        <v>0</v>
      </c>
      <c r="BJ40" s="244"/>
      <c r="BK40" s="247">
        <f t="shared" si="19"/>
        <v>0</v>
      </c>
      <c r="BL40" s="252">
        <f t="shared" si="20"/>
        <v>5863.08</v>
      </c>
      <c r="BM40" s="253">
        <f t="shared" si="21"/>
        <v>81.431666666666658</v>
      </c>
      <c r="BN40" s="254"/>
    </row>
    <row r="41" spans="1:66" ht="13.5" thickBot="1">
      <c r="A41" s="266" t="s">
        <v>3401</v>
      </c>
      <c r="B41" s="267">
        <f>SUM(B9:B40)</f>
        <v>536</v>
      </c>
      <c r="C41" s="268">
        <f>C9*$B$9+C10*$B$10+C11*$B$11+C12*$B$12+C13*$B$13+C14*$B$14+C15*$B$15+C16*$B$16+C17*$B$17+C18*$B$18+C19*$B$19+C20*$B$20+C21*$B$21+C22*$B$22+C23*$B$23+C24*$B$24+C25*$B$25+C26*$B$26+C27*$B$27+C28*$B$28+C29*$B$29+C30*$B$30+C31*$B$31+C32*$B$32+C33*$B$33+C34*$B$34+C35*$B$35+C36*$B$36+C37*$B$37+C38*$B$38+C39*$B$39+C40*$B$40</f>
        <v>276</v>
      </c>
      <c r="D41" s="268">
        <f>D9*$B$9+D10*$B$10+D11*$B$11+D12*$B$12+D13*$B$13+D14*$B$14+D15*$B$15+D16*$B$16+D17*$B$17+D18*$B$18+D19*$B$19+D20*$B$20+D21*$B$21+D22*$B$22+D23*$B$23+D24*$B$24+D25*$B$25+D26*$B$26+D27*$B$27+D28*$B$28+D29*$B$29+D30*$B$30+D31*$B$31+D32*$B$32+D33*$B$33+D34*$B$34+D35*$B$35+D36*$B$36+D37*$B$37+D38*$B$38+D39*$B$39+D40*$B$40</f>
        <v>432</v>
      </c>
      <c r="E41" s="268">
        <f>E9*$B$9+E10*$B$10+E11*$B$11+E12*$B$12+E13*$B$13+E14*$B$14+E15*$B$15+E16*$B$16+E17*$B$17+E18*$B$18+E19*$B$19+E20*$B$20+E21*$B$21+E22*$B$22+E23*$B$23+E24*$B$24+E25*$B$25+E26*$B$26+E27*$B$27+E28*$B$28+E29*$B$29+E30*$B$30+E31*$B$31+E32*$B$32+E33*$B$33+E34*$B$34+E35*$B$35+E36*$B$36+E37*$B$37+E38*$B$38+E39*$B$39+E40*$B$40</f>
        <v>1444</v>
      </c>
      <c r="F41" s="269">
        <f>SUM(F9:F40)</f>
        <v>86988</v>
      </c>
      <c r="G41" s="268">
        <f>G9*$B$9+G10*$B$10+G11*$B$11+G12*$B$12+G13*$B$13+G14*$B$14+G15*$B$15+G16*$B$16+G17*$B$17+G18*$B$18+G19*$B$19+G20*$B$20+G21*$B$21+G22*$B$22+G23*$B$23+G24*$B$24+G25*$B$25+G26*$B$26+G27*$B$27+G28*$B$28+G29*$B$29+G30*$B$30+G31*$B$31+G32*$B$32+G33*$B$33+G34*$B$34+G35*$B$35+G36*$B$36+G37*$B$37+G38*$B$38+G39*$B$39+G40*$B$40</f>
        <v>776</v>
      </c>
      <c r="H41" s="268">
        <f>H9*$B$9+H10*$B$10+H11*$B$11+H12*$B$12+H13*$B$13+H14*$B$14+H15*$B$15+H16*$B$16+H17*$B$17+H18*$B$18+H19*$B$19+H20*$B$20+H21*$B$21+H22*$B$22+H23*$B$23+H24*$B$24+H25*$B$25+H26*$B$26+H27*$B$27+H28*$B$28+H29*$B$29+H30*$B$30+H31*$B$31+H32*$B$32+H33*$B$33+H34*$B$34+H35*$B$35+H36*$B$36+H37*$B$37+H38*$B$38+H39*$B$39+H40*$B$40</f>
        <v>552</v>
      </c>
      <c r="I41" s="268">
        <f>I9*$B$9+I10*$B$10+I11*$B$11+I12*$B$12+I13*$B$13+I14*$B$14+I15*$B$15+I16*$B$16+I17*$B$17+I18*$B$18+I19*$B$19+I20*$B$20+I21*$B$21+I22*$B$22+I23*$B$23+I24*$B$24+I25*$B$25+I26*$B$26+I27*$B$27+I28*$B$28+I29*$B$29+I30*$B$30+I31*$B$31+I32*$B$32+I33*$B$33+I34*$B$34+I35*$B$35+I36*$B$36+I37*$B$37+I38*$B$38+I39*$B$39+I40*$B$40</f>
        <v>648</v>
      </c>
      <c r="J41" s="269">
        <f>SUM(J9:J40)</f>
        <v>62792</v>
      </c>
      <c r="K41" s="268">
        <f>K9*$B$9+K10*$B$10+K11*$B$11+K12*$B$12+K13*$B$13+K14*$B$14+K15*$B$15+K16*$B$16+K17*$B$17+K18*$B$18+K19*$B$19+K20*$B$20+K21*$B$21+K22*$B$22+K23*$B$23+K24*$B$24+K25*$B$25+K26*$B$26+K27*$B$27+K28*$B$28+K29*$B$29+K30*$B$30+K31*$B$31+K32*$B$32+K33*$B$33+K34*$B$34+K35*$B$35+K36*$B$36+K37*$B$37+K38*$B$38+K39*$B$39+K40*$B$40</f>
        <v>1774</v>
      </c>
      <c r="L41" s="269">
        <f>SUM(L9:L40)</f>
        <v>93135</v>
      </c>
      <c r="M41" s="268">
        <f>M9*$B$9+M10*$B$10+M11*$B$11+M12*$B$12+M13*$B$13+M14*$B$14+M15*$B$15+M16*$B$16+M17*$B$17+M18*$B$18+M19*$B$19+M20*$B$20+M21*$B$21+M22*$B$22+M23*$B$23+M24*$B$24+M25*$B$25+M26*$B$26+M27*$B$27+M28*$B$28+M29*$B$29+M30*$B$30+M31*$B$31+M32*$B$32+M33*$B$33+M34*$B$34+M35*$B$35+M36*$B$36+M37*$B$37+M38*$B$38+M39*$B$39+M40*$B$40</f>
        <v>708</v>
      </c>
      <c r="N41" s="269">
        <f>SUM(N9:N40)</f>
        <v>99077.52</v>
      </c>
      <c r="O41" s="268">
        <f>O9*$B$9+O10*$B$10+O11*$B$11+O12*$B$12+O13*$B$13+O14*$B$14+O15*$B$15+O16*$B$16+O17*$B$17+O18*$B$18+O19*$B$19+O20*$B$20+O21*$B$21+O22*$B$22+O23*$B$23+O24*$B$24+O25*$B$25+O26*$B$26+O27*$B$27+O28*$B$28+O29*$B$29+O30*$B$30+O31*$B$31+O32*$B$32+O33*$B$33+O34*$B$34+O35*$B$35+O36*$B$36+O37*$B$37+O38*$B$38+O39*$B$39+O40*$B$40</f>
        <v>24</v>
      </c>
      <c r="P41" s="269">
        <f>SUM(P9:P40)</f>
        <v>1416</v>
      </c>
      <c r="Q41" s="268">
        <f>Q9*$B$9+Q10*$B$10+Q11*$B$11+Q12*$B$12+Q13*$B$13+Q14*$B$14+Q15*$B$15+Q16*$B$16+Q17*$B$17+Q18*$B$18+Q19*$B$19+Q20*$B$20+Q21*$B$21+Q22*$B$22+Q23*$B$23+Q24*$B$24+Q25*$B$25+Q26*$B$26+Q27*$B$27+Q28*$B$28+Q29*$B$29+Q30*$B$30+Q31*$B$31+Q32*$B$32+Q33*$B$33+Q34*$B$34+Q35*$B$35+Q36*$B$36+Q37*$B$37+Q38*$B$38+Q39*$B$39+Q40*$B$40</f>
        <v>24</v>
      </c>
      <c r="R41" s="268">
        <f>R9*$B$9+R10*$B$10+R11*$B$11+R12*$B$12+R13*$B$13+R14*$B$14+R15*$B$15+R16*$B$16+R17*$B$17+R18*$B$18+R19*$B$19+R20*$B$20+R21*$B$21+R22*$B$22+R23*$B$23+R24*$B$24+R25*$B$25+R26*$B$26+R27*$B$27+R28*$B$28+R29*$B$29+R30*$B$30+R31*$B$31+R32*$B$32+R33*$B$33+R34*$B$34+R35*$B$35+R36*$B$36+R37*$B$37+R38*$B$38+R39*$B$39+R40*$B$40</f>
        <v>438</v>
      </c>
      <c r="S41" s="269">
        <f>SUM(S9:S40)</f>
        <v>6810</v>
      </c>
      <c r="T41" s="268">
        <f t="shared" ref="T41:Y41" si="22">T9*$B$9+T10*$B$10+T11*$B$11+T12*$B$12+T13*$B$13+T14*$B$14+T15*$B$15+T16*$B$16+T17*$B$17+T18*$B$18+T19*$B$19+T20*$B$20+T21*$B$21+T22*$B$22+T23*$B$23+T24*$B$24+T25*$B$25+T26*$B$26+T27*$B$27+T28*$B$28+T29*$B$29+T30*$B$30+T31*$B$31+T32*$B$32+T33*$B$33+T34*$B$34+T35*$B$35+T36*$B$36+T37*$B$37+T38*$B$38+T39*$B$39+T40*$B$40</f>
        <v>214</v>
      </c>
      <c r="U41" s="268">
        <f t="shared" si="22"/>
        <v>716</v>
      </c>
      <c r="V41" s="268">
        <f t="shared" si="22"/>
        <v>30</v>
      </c>
      <c r="W41" s="268">
        <f t="shared" si="22"/>
        <v>24</v>
      </c>
      <c r="X41" s="268">
        <f t="shared" si="22"/>
        <v>94</v>
      </c>
      <c r="Y41" s="268">
        <f t="shared" si="22"/>
        <v>32</v>
      </c>
      <c r="Z41" s="269">
        <f>SUM(Z9:Z40)</f>
        <v>97595.459999999977</v>
      </c>
      <c r="AA41" s="268">
        <f>AA9*$B$9+AA10*$B$10+AA11*$B$11+AA12*$B$12+AA13*$B$13+AA14*$B$14+AA15*$B$15+AA16*$B$16+AA17*$B$17+AA18*$B$18+AA19*$B$19+AA20*$B$20+AA21*$B$21+AA22*$B$22+AA23*$B$23+AA24*$B$24+AA25*$B$25+AA26*$B$26+AA27*$B$27+AA28*$B$28+AA29*$B$29+AA30*$B$30+AA31*$B$31+AA32*$B$32+AA33*$B$33+AA34*$B$34+AA35*$B$35+AA36*$B$36+AA37*$B$37+AA38*$B$38+AA39*$B$39+AA40*$B$40</f>
        <v>64</v>
      </c>
      <c r="AB41" s="268">
        <f>AB9*$B$9+AB10*$B$10+AB11*$B$11+AB12*$B$12+AB13*$B$13+AB14*$B$14+AB15*$B$15+AB16*$B$16+AB17*$B$17+AB18*$B$18+AB19*$B$19+AB20*$B$20+AB21*$B$21+AB22*$B$22+AB23*$B$23+AB24*$B$24+AB25*$B$25+AB26*$B$26+AB27*$B$27+AB28*$B$28+AB29*$B$29+AB30*$B$30+AB31*$B$31+AB32*$B$32+AB33*$B$33+AB34*$B$34+AB35*$B$35+AB36*$B$36+AB37*$B$37+AB38*$B$38+AB39*$B$39+AB40*$B$40</f>
        <v>4</v>
      </c>
      <c r="AC41" s="268">
        <f>AC9*$B$9+AC10*$B$10+AC11*$B$11+AC12*$B$12+AC13*$B$13+AC14*$B$14+AC15*$B$15+AC16*$B$16+AC17*$B$17+AC18*$B$18+AC19*$B$19+AC20*$B$20+AC21*$B$21+AC22*$B$22+AC23*$B$23+AC24*$B$24+AC25*$B$25+AC26*$B$26+AC27*$B$27+AC28*$B$28+AC29*$B$29+AC30*$B$30+AC31*$B$31+AC32*$B$32+AC33*$B$33+AC34*$B$34+AC35*$B$35+AC36*$B$36+AC37*$B$37+AC38*$B$38+AC39*$B$39+AC40*$B$40</f>
        <v>1</v>
      </c>
      <c r="AD41" s="269">
        <f>SUM(AD9:AD40)</f>
        <v>487.59999999999997</v>
      </c>
      <c r="AE41" s="268">
        <f>AE9*$B$9+AE10*$B$10+AE11*$B$11+AE12*$B$12+AE13*$B$13+AE14*$B$14+AE15*$B$15+AE16*$B$16+AE17*$B$17+AE18*$B$18+AE19*$B$19+AE20*$B$20+AE21*$B$21+AE22*$B$22+AE23*$B$23+AE24*$B$24+AE25*$B$25+AE26*$B$26+AE27*$B$27+AE28*$B$28+AE29*$B$29+AE30*$B$30+AE31*$B$31+AE32*$B$32+AE33*$B$33+AE34*$B$34+AE35*$B$35+AE36*$B$36+AE37*$B$37+AE38*$B$38+AE39*$B$39+AE40*$B$40</f>
        <v>154</v>
      </c>
      <c r="AF41" s="268">
        <f>AF9*$B$9+AF10*$B$10+AF11*$B$11+AF12*$B$12+AF13*$B$13+AF14*$B$14+AF15*$B$15+AF16*$B$16+AF17*$B$17+AF18*$B$18+AF19*$B$19+AF20*$B$20+AF21*$B$21+AF22*$B$22+AF23*$B$23+AF24*$B$24+AF25*$B$25+AF26*$B$26+AF27*$B$27+AF28*$B$28+AF29*$B$29+AF30*$B$30+AF31*$B$31+AF32*$B$32+AF33*$B$33+AF34*$B$34+AF35*$B$35+AF36*$B$36+AF37*$B$37+AF38*$B$38+AF39*$B$39+AF40*$B$40</f>
        <v>12</v>
      </c>
      <c r="AG41" s="269">
        <f>SUM(AG9:AG40)</f>
        <v>5732.7</v>
      </c>
      <c r="AH41" s="268">
        <f>AH9*$B$9+AH10*$B$10+AH11*$B$11+AH12*$B$12+AH13*$B$13+AH14*$B$14+AH15*$B$15+AH16*$B$16+AH17*$B$17+AH18*$B$18+AH19*$B$19+AH20*$B$20+AH21*$B$21+AH22*$B$22+AH23*$B$23+AH24*$B$24+AH25*$B$25+AH26*$B$26+AH27*$B$27+AH28*$B$28+AH29*$B$29+AH30*$B$30+AH31*$B$31+AH32*$B$32+AH33*$B$33+AH34*$B$34+AH35*$B$35+AH36*$B$36+AH37*$B$37+AH38*$B$38+AH39*$B$39+AH40*$B$40</f>
        <v>54</v>
      </c>
      <c r="AI41" s="269">
        <f>SUM(AI9:AI40)</f>
        <v>310.5</v>
      </c>
      <c r="AJ41" s="268">
        <f>AJ9*$B$9+AJ10*$B$10+AJ11*$B$11+AJ12*$B$12+AJ13*$B$13+AJ14*$B$14+AJ15*$B$15+AJ16*$B$16+AJ17*$B$17+AJ18*$B$18+AJ19*$B$19+AJ20*$B$20+AJ21*$B$21+AJ22*$B$22+AJ23*$B$23+AJ24*$B$24+AJ25*$B$25+AJ26*$B$26+AJ27*$B$27+AJ28*$B$28+AJ29*$B$29+AJ30*$B$30+AJ31*$B$31+AJ32*$B$32+AJ33*$B$33+AJ34*$B$34+AJ35*$B$35+AJ36*$B$36+AJ37*$B$37+AJ38*$B$38+AJ39*$B$39+AJ40*$B$40</f>
        <v>4</v>
      </c>
      <c r="AK41" s="269">
        <f>SUM(AK9:AK40)</f>
        <v>81.56</v>
      </c>
      <c r="AL41" s="268">
        <f>AL9*$B$9+AL10*$B$10+AL11*$B$11+AL12*$B$12+AL13*$B$13+AL14*$B$14+AL15*$B$15+AL16*$B$16+AL17*$B$17+AL18*$B$18+AL19*$B$19+AL20*$B$20+AL21*$B$21+AL22*$B$22+AL23*$B$23+AL24*$B$24+AL25*$B$25+AL26*$B$26+AL27*$B$27+AL28*$B$28+AL29*$B$29+AL30*$B$30+AL31*$B$31+AL32*$B$32+AL33*$B$33+AL34*$B$34+AL35*$B$35+AL36*$B$36+AL37*$B$37+AL38*$B$38+AL39*$B$39+AL40*$B$40</f>
        <v>12</v>
      </c>
      <c r="AM41" s="269">
        <f>SUM(AM9:AM40)</f>
        <v>739.31999999999994</v>
      </c>
      <c r="AN41" s="268">
        <f t="shared" ref="AN41:AS41" si="23">AN9*$B$9+AN10*$B$10+AN11*$B$11+AN12*$B$12+AN13*$B$13+AN14*$B$14+AN15*$B$15+AN16*$B$16+AN17*$B$17+AN18*$B$18+AN19*$B$19+AN20*$B$20+AN21*$B$21+AN22*$B$22+AN23*$B$23+AN24*$B$24+AN25*$B$25+AN26*$B$26+AN27*$B$27+AN28*$B$28+AN29*$B$29+AN30*$B$30+AN31*$B$31+AN32*$B$32+AN33*$B$33+AN34*$B$34+AN35*$B$35+AN36*$B$36+AN37*$B$37+AN38*$B$38+AN39*$B$39+AN40*$B$40</f>
        <v>4</v>
      </c>
      <c r="AO41" s="268">
        <f t="shared" si="23"/>
        <v>20</v>
      </c>
      <c r="AP41" s="268">
        <f t="shared" si="23"/>
        <v>500</v>
      </c>
      <c r="AQ41" s="268">
        <f t="shared" si="23"/>
        <v>52</v>
      </c>
      <c r="AR41" s="268">
        <f t="shared" si="23"/>
        <v>104</v>
      </c>
      <c r="AS41" s="268">
        <f t="shared" si="23"/>
        <v>72</v>
      </c>
      <c r="AT41" s="269">
        <f>SUM(AT9:AT40)</f>
        <v>13841.279999999999</v>
      </c>
      <c r="AU41" s="268">
        <f>AU9*$B$9+AU10*$B$10+AU11*$B$11+AU12*$B$12+AU13*$B$13+AU14*$B$14+AU15*$B$15+AU16*$B$16+AU17*$B$17+AU18*$B$18+AU19*$B$19+AU20*$B$20+AU21*$B$21+AU22*$B$22+AU23*$B$23+AU24*$B$24+AU25*$B$25+AU26*$B$26+AU27*$B$27+AU28*$B$28+AU29*$B$29+AU30*$B$30+AU31*$B$31+AU32*$B$32+AU33*$B$33+AU34*$B$34+AU35*$B$35+AU36*$B$36+AU37*$B$37+AU38*$B$38+AU39*$B$39+AU40*$B$40</f>
        <v>8</v>
      </c>
      <c r="AV41" s="269">
        <f>SUM(AV9:AV40)</f>
        <v>10.16</v>
      </c>
      <c r="AW41" s="268">
        <f>AW9*$B$9+AW10*$B$10+AW11*$B$11+AW12*$B$12+AW13*$B$13+AW14*$B$14+AW15*$B$15+AW16*$B$16+AW17*$B$17+AW18*$B$18+AW19*$B$19+AW20*$B$20+AW21*$B$21+AW22*$B$22+AW23*$B$23+AW24*$B$24+AW25*$B$25+AW26*$B$26+AW27*$B$27+AW28*$B$28+AW29*$B$29+AW30*$B$30+AW31*$B$31+AW32*$B$32+AW33*$B$33+AW34*$B$34+AW35*$B$35+AW36*$B$36+AW37*$B$37+AW38*$B$38+AW39*$B$39+AW40*$B$40</f>
        <v>820</v>
      </c>
      <c r="AX41" s="268">
        <f>AX9*$B$9+AX10*$B$10+AX11*$B$11+AX12*$B$12+AX13*$B$13+AX14*$B$14+AX15*$B$15+AX16*$B$16+AX17*$B$17+AX18*$B$18+AX19*$B$19+AX20*$B$20+AX21*$B$21+AX22*$B$22+AX23*$B$23+AX24*$B$24+AX25*$B$25+AX26*$B$26+AX27*$B$27+AX28*$B$28+AX29*$B$29+AX30*$B$30+AX31*$B$31+AX32*$B$32+AX33*$B$33+AX34*$B$34+AX35*$B$35+AX36*$B$36+AX37*$B$37+AX38*$B$38+AX39*$B$39+AX40*$B$40</f>
        <v>260</v>
      </c>
      <c r="AY41" s="269">
        <f>SUM(AY9:AY40)</f>
        <v>2425.1999999999998</v>
      </c>
      <c r="AZ41" s="268">
        <f>AZ9*$B$9+AZ10*$B$10+AZ11*$B$11+AZ12*$B$12+AZ13*$B$13+AZ14*$B$14+AZ15*$B$15+AZ16*$B$16+AZ17*$B$17+AZ18*$B$18+AZ19*$B$19+AZ20*$B$20+AZ21*$B$21+AZ22*$B$22+AZ23*$B$23+AZ24*$B$24+AZ25*$B$25+AZ26*$B$26+AZ27*$B$27+AZ28*$B$28+AZ29*$B$29+AZ30*$B$30+AZ31*$B$31+AZ32*$B$32+AZ33*$B$33+AZ34*$B$34+AZ35*$B$35+AZ36*$B$36+AZ37*$B$37+AZ38*$B$38+AZ39*$B$39+AZ40*$B$40</f>
        <v>1</v>
      </c>
      <c r="BA41" s="269">
        <f>SUM(BA9:BA40)</f>
        <v>22</v>
      </c>
      <c r="BB41" s="268">
        <f>BB9*$B$9+BB10*$B$10+BB11*$B$11+BB12*$B$12+BB13*$B$13+BB14*$B$14+BB15*$B$15+BB16*$B$16+BB17*$B$17+BB18*$B$18+BB19*$B$19+BB20*$B$20+BB21*$B$21+BB22*$B$22+BB23*$B$23+BB24*$B$24+BB25*$B$25+BB26*$B$26+BB27*$B$27+BB28*$B$28+BB29*$B$29+BB30*$B$30+BB31*$B$31+BB32*$B$32+BB33*$B$33+BB34*$B$34+BB35*$B$35+BB36*$B$36+BB37*$B$37+BB38*$B$38+BB39*$B$39+BB40*$B$40</f>
        <v>8</v>
      </c>
      <c r="BC41" s="269">
        <f>SUM(BC9:BC40)</f>
        <v>229.2</v>
      </c>
      <c r="BD41" s="268">
        <f>BD9*$B$9+BD10*$B$10+BD11*$B$11+BD12*$B$12+BD13*$B$13+BD14*$B$14+BD15*$B$15+BD16*$B$16+BD17*$B$17+BD18*$B$18+BD19*$B$19+BD20*$B$20+BD21*$B$21+BD22*$B$22+BD23*$B$23+BD24*$B$24+BD25*$B$25+BD26*$B$26+BD27*$B$27+BD28*$B$28+BD29*$B$29+BD30*$B$30+BD31*$B$31+BD32*$B$32+BD33*$B$33+BD34*$B$34+BD35*$B$35+BD36*$B$36+BD37*$B$37+BD38*$B$38+BD39*$B$39+BD40*$B$40</f>
        <v>18</v>
      </c>
      <c r="BE41" s="269">
        <f>SUM(BE9:BE40)</f>
        <v>612.9</v>
      </c>
      <c r="BF41" s="268">
        <f>BF9*$B$9+BF10*$B$10+BF11*$B$11+BF12*$B$12+BF13*$B$13+BF14*$B$14+BF15*$B$15+BF16*$B$16+BF17*$B$17+BF18*$B$18+BF19*$B$19+BF20*$B$20+BF21*$B$21+BF22*$B$22+BF23*$B$23+BF24*$B$24+BF25*$B$25+BF26*$B$26+BF27*$B$27+BF28*$B$28+BF29*$B$29+BF30*$B$30+BF31*$B$31+BF32*$B$32+BF33*$B$33+BF34*$B$34+BF35*$B$35+BF36*$B$36+BF37*$B$37+BF38*$B$38+BF39*$B$39+BF40*$B$40</f>
        <v>66</v>
      </c>
      <c r="BG41" s="268">
        <f>BG9*$B$9+BG10*$B$10+BG11*$B$11+BG12*$B$12+BG13*$B$13+BG14*$B$14+BG15*$B$15+BG16*$B$16+BG17*$B$17+BG18*$B$18+BG19*$B$19+BG20*$B$20+BG21*$B$21+BG22*$B$22+BG23*$B$23+BG24*$B$24+BG25*$B$25+BG26*$B$26+BG27*$B$27+BG28*$B$28+BG29*$B$29+BG30*$B$30+BG31*$B$31+BG32*$B$32+BG33*$B$33+BG34*$B$34+BG35*$B$35+BG36*$B$36+BG37*$B$37+BG38*$B$38+BG39*$B$39+BG40*$B$40</f>
        <v>2</v>
      </c>
      <c r="BH41" s="268">
        <f>BH9*$B$9+BH10*$B$10+BH11*$B$11+BH12*$B$12+BH13*$B$13+BH14*$B$14+BH15*$B$15+BH16*$B$16+BH17*$B$17+BH18*$B$18+BH19*$B$19+BH20*$B$20+BH21*$B$21+BH22*$B$22+BH23*$B$23+BH24*$B$24+BH25*$B$25+BH26*$B$26+BH27*$B$27+BH28*$B$28+BH29*$B$29+BH30*$B$30+BH31*$B$31+BH32*$B$32+BH33*$B$33+BH34*$B$34+BH35*$B$35+BH36*$B$36+BH37*$B$37+BH38*$B$38+BH39*$B$39+BH40*$B$40</f>
        <v>14</v>
      </c>
      <c r="BI41" s="269">
        <f>SUM(BI9:BI40)</f>
        <v>727.92000000000007</v>
      </c>
      <c r="BJ41" s="268">
        <f>BJ9*$B$9+BJ10*$B$10+BJ11*$B$11+BJ12*$B$12+BJ13*$B$13+BJ14*$B$14+BJ15*$B$15+BJ16*$B$16+BJ17*$B$17+BJ18*$B$18+BJ19*$B$19+BJ20*$B$20+BJ21*$B$21+BJ22*$B$22+BJ23*$B$23+BJ24*$B$24+BJ25*$B$25+BJ26*$B$26+BJ27*$B$27+BJ28*$B$28+BJ29*$B$29+BJ30*$B$30+BJ31*$B$31+BJ32*$B$32+BJ33*$B$33+BJ34*$B$34+BJ35*$B$35+BJ36*$B$36+BJ37*$B$37+BJ38*$B$38+BJ39*$B$39+BJ40*$B$40</f>
        <v>64</v>
      </c>
      <c r="BK41" s="269">
        <f>SUM(BK9:BK40)</f>
        <v>870.4</v>
      </c>
      <c r="BL41" s="270">
        <f>SUM(BL9:BL40)</f>
        <v>473904.72000000009</v>
      </c>
      <c r="BM41" s="253"/>
      <c r="BN41" s="254"/>
    </row>
    <row r="43" spans="1:66">
      <c r="X43" s="271"/>
    </row>
    <row r="45" spans="1:66">
      <c r="K45" s="272"/>
    </row>
    <row r="48" spans="1:66">
      <c r="BH48" s="271"/>
    </row>
  </sheetData>
  <autoFilter ref="A8:BL41"/>
  <mergeCells count="47">
    <mergeCell ref="A2:BL2"/>
    <mergeCell ref="A3:BL3"/>
    <mergeCell ref="A4:BL4"/>
    <mergeCell ref="A6:A8"/>
    <mergeCell ref="B6:B8"/>
    <mergeCell ref="C6:F6"/>
    <mergeCell ref="G6:J6"/>
    <mergeCell ref="K6:L6"/>
    <mergeCell ref="M6:N6"/>
    <mergeCell ref="O6:P6"/>
    <mergeCell ref="AK7:AK8"/>
    <mergeCell ref="BD6:BE6"/>
    <mergeCell ref="BF6:BI6"/>
    <mergeCell ref="BJ6:BK6"/>
    <mergeCell ref="BL6:BL8"/>
    <mergeCell ref="S7:S8"/>
    <mergeCell ref="Q6:S6"/>
    <mergeCell ref="T6:Z6"/>
    <mergeCell ref="BM6:BM8"/>
    <mergeCell ref="AL6:AM6"/>
    <mergeCell ref="AN6:AT6"/>
    <mergeCell ref="AU6:AV6"/>
    <mergeCell ref="AW6:AY6"/>
    <mergeCell ref="AA6:AD6"/>
    <mergeCell ref="AE6:AG6"/>
    <mergeCell ref="Z7:Z8"/>
    <mergeCell ref="AD7:AD8"/>
    <mergeCell ref="AG7:AG8"/>
    <mergeCell ref="AI7:AI8"/>
    <mergeCell ref="AH6:AI6"/>
    <mergeCell ref="AJ6:AK6"/>
    <mergeCell ref="BE7:BE8"/>
    <mergeCell ref="F7:F8"/>
    <mergeCell ref="J7:J8"/>
    <mergeCell ref="L7:L8"/>
    <mergeCell ref="N7:N8"/>
    <mergeCell ref="P7:P8"/>
    <mergeCell ref="AZ6:BA6"/>
    <mergeCell ref="BB6:BC6"/>
    <mergeCell ref="BI7:BI8"/>
    <mergeCell ref="BK7:BK8"/>
    <mergeCell ref="AM7:AM8"/>
    <mergeCell ref="AT7:AT8"/>
    <mergeCell ref="AV7:AV8"/>
    <mergeCell ref="AY7:AY8"/>
    <mergeCell ref="BA7:BA8"/>
    <mergeCell ref="BC7:BC8"/>
  </mergeCells>
  <pageMargins left="0.511811024" right="0.511811024" top="0.78740157499999996" bottom="0.78740157499999996" header="0.31496062000000002" footer="0.31496062000000002"/>
  <pageSetup paperSize="9" orientation="landscape" horizontalDpi="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4">
    <pageSetUpPr autoPageBreaks="0"/>
  </sheetPr>
  <dimension ref="A1:O31"/>
  <sheetViews>
    <sheetView showGridLines="0" zoomScale="85" zoomScaleSheetLayoutView="100" workbookViewId="0">
      <selection activeCell="K20" sqref="K20"/>
    </sheetView>
  </sheetViews>
  <sheetFormatPr defaultColWidth="14.7109375" defaultRowHeight="18" customHeight="1"/>
  <cols>
    <col min="1" max="1" width="7.5703125" style="284" customWidth="1"/>
    <col min="2" max="2" width="28.5703125" style="295" customWidth="1"/>
    <col min="3" max="3" width="32" style="284" customWidth="1"/>
    <col min="4" max="4" width="43.28515625" style="284" customWidth="1"/>
    <col min="5" max="5" width="12.28515625" style="284" bestFit="1" customWidth="1"/>
    <col min="6" max="6" width="18.5703125" style="284" bestFit="1" customWidth="1"/>
    <col min="7" max="7" width="16.140625" style="284" hidden="1" customWidth="1"/>
    <col min="8" max="8" width="13.140625" style="284" hidden="1" customWidth="1"/>
    <col min="9" max="9" width="13.42578125" style="284" customWidth="1"/>
    <col min="10" max="251" width="9.140625" style="284" customWidth="1"/>
    <col min="252" max="252" width="7.5703125" style="284" customWidth="1"/>
    <col min="253" max="253" width="28.5703125" style="284" customWidth="1"/>
    <col min="254" max="254" width="32" style="284" customWidth="1"/>
    <col min="255" max="255" width="43.28515625" style="284" customWidth="1"/>
    <col min="256" max="16384" width="14.7109375" style="284"/>
  </cols>
  <sheetData>
    <row r="1" spans="1:15" ht="30" customHeight="1" thickBot="1">
      <c r="A1" s="741"/>
      <c r="B1" s="741"/>
      <c r="C1" s="741"/>
      <c r="D1" s="283"/>
    </row>
    <row r="2" spans="1:15" ht="33" customHeight="1">
      <c r="A2" s="742" t="s">
        <v>3412</v>
      </c>
      <c r="B2" s="743"/>
      <c r="C2" s="743"/>
      <c r="D2" s="744"/>
      <c r="E2" s="341">
        <v>2015</v>
      </c>
      <c r="F2" s="342" t="s">
        <v>3413</v>
      </c>
    </row>
    <row r="3" spans="1:15" ht="37.5" customHeight="1">
      <c r="A3" s="285" t="s">
        <v>3414</v>
      </c>
      <c r="B3" s="286" t="s">
        <v>3415</v>
      </c>
      <c r="C3" s="337" t="s">
        <v>3416</v>
      </c>
      <c r="D3" s="343" t="s">
        <v>3417</v>
      </c>
      <c r="E3" s="347" t="s">
        <v>106</v>
      </c>
      <c r="F3" s="352">
        <f ca="1">NOW()</f>
        <v>42893.480672106482</v>
      </c>
    </row>
    <row r="4" spans="1:15" ht="21" customHeight="1">
      <c r="A4" s="287">
        <v>1</v>
      </c>
      <c r="B4" s="288" t="s">
        <v>2073</v>
      </c>
      <c r="C4" s="338" t="s">
        <v>0</v>
      </c>
      <c r="D4" s="344" t="str">
        <f t="shared" ref="D4:D12" si="0">CONCATENATE(C4,B4)</f>
        <v>MOTORISTABELO HORIZONTE</v>
      </c>
      <c r="E4" s="348"/>
      <c r="F4" s="353">
        <f>E4</f>
        <v>0</v>
      </c>
    </row>
    <row r="5" spans="1:15" ht="18" customHeight="1">
      <c r="A5" s="287">
        <f t="shared" ref="A5:A10" si="1">A4+1</f>
        <v>2</v>
      </c>
      <c r="B5" s="288" t="s">
        <v>2098</v>
      </c>
      <c r="C5" s="338" t="s">
        <v>0</v>
      </c>
      <c r="D5" s="344" t="str">
        <f t="shared" si="0"/>
        <v>MOTORISTABARBACENA</v>
      </c>
      <c r="E5" s="348"/>
      <c r="F5" s="353">
        <f t="shared" ref="F5:F30" si="2">E5</f>
        <v>0</v>
      </c>
      <c r="G5" s="289"/>
    </row>
    <row r="6" spans="1:15" ht="18" customHeight="1">
      <c r="A6" s="287">
        <f t="shared" si="1"/>
        <v>3</v>
      </c>
      <c r="B6" s="288" t="s">
        <v>2077</v>
      </c>
      <c r="C6" s="338" t="s">
        <v>0</v>
      </c>
      <c r="D6" s="344" t="str">
        <f t="shared" si="0"/>
        <v>MOTORISTABETIM</v>
      </c>
      <c r="E6" s="348"/>
      <c r="F6" s="353">
        <f t="shared" si="2"/>
        <v>0</v>
      </c>
      <c r="G6" s="289">
        <f>'[13]Res. Cat'!$F$6</f>
        <v>1161.4299702797748</v>
      </c>
    </row>
    <row r="7" spans="1:15" ht="18" customHeight="1">
      <c r="A7" s="287">
        <f t="shared" si="1"/>
        <v>4</v>
      </c>
      <c r="B7" s="288" t="s">
        <v>2166</v>
      </c>
      <c r="C7" s="338" t="s">
        <v>0</v>
      </c>
      <c r="D7" s="344" t="str">
        <f t="shared" si="0"/>
        <v>MOTORISTACARATINGA</v>
      </c>
      <c r="E7" s="348"/>
      <c r="F7" s="353">
        <f t="shared" si="2"/>
        <v>0</v>
      </c>
      <c r="G7" s="289"/>
    </row>
    <row r="8" spans="1:15" ht="18" customHeight="1">
      <c r="A8" s="287">
        <f t="shared" si="1"/>
        <v>5</v>
      </c>
      <c r="B8" s="288" t="s">
        <v>2097</v>
      </c>
      <c r="C8" s="338" t="s">
        <v>0</v>
      </c>
      <c r="D8" s="344" t="str">
        <f t="shared" si="0"/>
        <v>MOTORISTACONSELHEIRO LAFAIETE</v>
      </c>
      <c r="E8" s="348"/>
      <c r="F8" s="353">
        <f t="shared" si="2"/>
        <v>0</v>
      </c>
      <c r="G8" s="289"/>
    </row>
    <row r="9" spans="1:15" ht="18" customHeight="1">
      <c r="A9" s="287">
        <f t="shared" si="1"/>
        <v>6</v>
      </c>
      <c r="B9" s="288" t="s">
        <v>2075</v>
      </c>
      <c r="C9" s="338" t="s">
        <v>0</v>
      </c>
      <c r="D9" s="344" t="str">
        <f t="shared" si="0"/>
        <v>MOTORISTACONTAGEM</v>
      </c>
      <c r="E9" s="348"/>
      <c r="F9" s="353">
        <f t="shared" si="2"/>
        <v>0</v>
      </c>
      <c r="G9" s="289">
        <f>'[13]Res. Cat'!$F$6</f>
        <v>1161.4299702797748</v>
      </c>
      <c r="H9" s="290">
        <f>F9-G9</f>
        <v>-1161.4299702797748</v>
      </c>
      <c r="I9" s="290"/>
    </row>
    <row r="10" spans="1:15" ht="18" customHeight="1">
      <c r="A10" s="287">
        <f t="shared" si="1"/>
        <v>7</v>
      </c>
      <c r="B10" s="288" t="s">
        <v>2144</v>
      </c>
      <c r="C10" s="338" t="s">
        <v>0</v>
      </c>
      <c r="D10" s="344" t="str">
        <f t="shared" si="0"/>
        <v>MOTORISTADIAMANTINA</v>
      </c>
      <c r="E10" s="348"/>
      <c r="F10" s="353">
        <f t="shared" si="2"/>
        <v>0</v>
      </c>
      <c r="G10" s="289">
        <f>'[13]Res. Cat'!$F$7</f>
        <v>1641.8374383853925</v>
      </c>
      <c r="H10" s="290">
        <f t="shared" ref="H10:H15" si="3">F10-G10</f>
        <v>-1641.8374383853925</v>
      </c>
      <c r="I10" s="290"/>
    </row>
    <row r="11" spans="1:15" ht="18" customHeight="1">
      <c r="A11" s="287">
        <v>5</v>
      </c>
      <c r="B11" s="288" t="s">
        <v>2089</v>
      </c>
      <c r="C11" s="338" t="s">
        <v>0</v>
      </c>
      <c r="D11" s="344" t="str">
        <f t="shared" si="0"/>
        <v>MOTORISTADIVINOPOLIS</v>
      </c>
      <c r="E11" s="348"/>
      <c r="F11" s="353">
        <f t="shared" si="2"/>
        <v>0</v>
      </c>
      <c r="G11" s="289">
        <f>'[13]Res. Cat'!$F$8</f>
        <v>1641.8374383853925</v>
      </c>
      <c r="H11" s="290">
        <f t="shared" si="3"/>
        <v>-1641.8374383853925</v>
      </c>
      <c r="I11" s="290"/>
      <c r="O11" s="355"/>
    </row>
    <row r="12" spans="1:15" ht="18" customHeight="1">
      <c r="A12" s="291">
        <v>6</v>
      </c>
      <c r="B12" s="288" t="s">
        <v>2079</v>
      </c>
      <c r="C12" s="338" t="s">
        <v>0</v>
      </c>
      <c r="D12" s="344" t="str">
        <f t="shared" si="0"/>
        <v>MOTORISTAGOVERNADOR VALADARES</v>
      </c>
      <c r="E12" s="348"/>
      <c r="F12" s="353">
        <f t="shared" si="2"/>
        <v>0</v>
      </c>
      <c r="G12" s="289">
        <v>1174.67</v>
      </c>
      <c r="H12" s="290">
        <f t="shared" si="3"/>
        <v>-1174.67</v>
      </c>
      <c r="I12" s="290"/>
    </row>
    <row r="13" spans="1:15" ht="18" customHeight="1">
      <c r="A13" s="291">
        <v>7</v>
      </c>
      <c r="B13" s="288" t="s">
        <v>2102</v>
      </c>
      <c r="C13" s="338" t="s">
        <v>0</v>
      </c>
      <c r="D13" s="344" t="str">
        <f>CONCATENATE(C13,B13)</f>
        <v>MOTORISTAITUIUTABA</v>
      </c>
      <c r="E13" s="348"/>
      <c r="F13" s="353">
        <f t="shared" si="2"/>
        <v>0</v>
      </c>
      <c r="G13" s="289">
        <v>1199.8699999999999</v>
      </c>
      <c r="H13" s="290">
        <f t="shared" si="3"/>
        <v>-1199.8699999999999</v>
      </c>
      <c r="I13" s="290"/>
    </row>
    <row r="14" spans="1:15" ht="18" customHeight="1">
      <c r="A14" s="287">
        <v>8</v>
      </c>
      <c r="B14" s="288" t="s">
        <v>2093</v>
      </c>
      <c r="C14" s="338" t="s">
        <v>0</v>
      </c>
      <c r="D14" s="344" t="str">
        <f>CONCATENATE(C14,B14)</f>
        <v>MOTORISTAJUIZ DE FORA</v>
      </c>
      <c r="E14" s="348"/>
      <c r="F14" s="353">
        <f t="shared" si="2"/>
        <v>0</v>
      </c>
      <c r="G14" s="289">
        <v>2471.75</v>
      </c>
      <c r="H14" s="290">
        <f t="shared" si="3"/>
        <v>-2471.75</v>
      </c>
      <c r="I14" s="290"/>
    </row>
    <row r="15" spans="1:15" ht="18" customHeight="1">
      <c r="A15" s="287">
        <v>9</v>
      </c>
      <c r="B15" s="288" t="s">
        <v>2083</v>
      </c>
      <c r="C15" s="338" t="s">
        <v>0</v>
      </c>
      <c r="D15" s="344" t="str">
        <f>CONCATENATE(C15,B15)</f>
        <v>MOTORISTALAVRAS</v>
      </c>
      <c r="E15" s="348"/>
      <c r="F15" s="353">
        <f t="shared" si="2"/>
        <v>0</v>
      </c>
      <c r="G15" s="289">
        <v>0</v>
      </c>
      <c r="H15" s="290">
        <f t="shared" si="3"/>
        <v>0</v>
      </c>
      <c r="I15" s="290"/>
    </row>
    <row r="16" spans="1:15" ht="18" customHeight="1">
      <c r="A16" s="287">
        <v>10</v>
      </c>
      <c r="B16" s="288" t="s">
        <v>2088</v>
      </c>
      <c r="C16" s="338" t="s">
        <v>0</v>
      </c>
      <c r="D16" s="344" t="str">
        <f t="shared" ref="D16:D27" si="4">CONCATENATE(C16,B16)</f>
        <v>MOTORISTAMONTES CLAROS</v>
      </c>
      <c r="E16" s="348"/>
      <c r="F16" s="353">
        <f t="shared" si="2"/>
        <v>0</v>
      </c>
      <c r="G16" s="289"/>
      <c r="H16" s="290"/>
      <c r="I16" s="290"/>
      <c r="O16" s="355"/>
    </row>
    <row r="17" spans="1:9" ht="18" customHeight="1">
      <c r="A17" s="287">
        <f>A16+1</f>
        <v>11</v>
      </c>
      <c r="B17" s="288" t="s">
        <v>2084</v>
      </c>
      <c r="C17" s="338" t="s">
        <v>0</v>
      </c>
      <c r="D17" s="344" t="str">
        <f t="shared" si="4"/>
        <v>MOTORISTANOVA LIMA</v>
      </c>
      <c r="E17" s="348"/>
      <c r="F17" s="353">
        <f t="shared" si="2"/>
        <v>0</v>
      </c>
      <c r="G17" s="289"/>
      <c r="H17" s="290"/>
      <c r="I17" s="290"/>
    </row>
    <row r="18" spans="1:9" ht="18" customHeight="1">
      <c r="A18" s="287">
        <f>A17+1</f>
        <v>12</v>
      </c>
      <c r="B18" s="288" t="s">
        <v>2086</v>
      </c>
      <c r="C18" s="338" t="s">
        <v>0</v>
      </c>
      <c r="D18" s="344" t="str">
        <f t="shared" si="4"/>
        <v>MOTORISTAPATOS DE MINAS</v>
      </c>
      <c r="E18" s="348"/>
      <c r="F18" s="353">
        <f t="shared" si="2"/>
        <v>0</v>
      </c>
      <c r="G18" s="289"/>
      <c r="H18" s="290"/>
      <c r="I18" s="290"/>
    </row>
    <row r="19" spans="1:9" ht="18" customHeight="1">
      <c r="A19" s="287">
        <v>12</v>
      </c>
      <c r="B19" s="288" t="s">
        <v>2082</v>
      </c>
      <c r="C19" s="338" t="s">
        <v>0</v>
      </c>
      <c r="D19" s="344" t="str">
        <f t="shared" si="4"/>
        <v>MOTORISTAPASSOS</v>
      </c>
      <c r="E19" s="348"/>
      <c r="F19" s="353">
        <f t="shared" si="2"/>
        <v>0</v>
      </c>
      <c r="G19" s="289"/>
      <c r="H19" s="290"/>
      <c r="I19" s="290"/>
    </row>
    <row r="20" spans="1:9" ht="18" customHeight="1">
      <c r="A20" s="287">
        <v>13</v>
      </c>
      <c r="B20" s="288" t="s">
        <v>2139</v>
      </c>
      <c r="C20" s="338" t="s">
        <v>0</v>
      </c>
      <c r="D20" s="344" t="str">
        <f t="shared" si="4"/>
        <v>MOTORISTAPOCOS DE CALDAS</v>
      </c>
      <c r="E20" s="348"/>
      <c r="F20" s="353">
        <f t="shared" si="2"/>
        <v>0</v>
      </c>
      <c r="G20" s="289"/>
      <c r="H20" s="290"/>
      <c r="I20" s="290"/>
    </row>
    <row r="21" spans="1:9" ht="18" customHeight="1">
      <c r="A21" s="287">
        <v>14</v>
      </c>
      <c r="B21" s="288" t="s">
        <v>2142</v>
      </c>
      <c r="C21" s="338" t="s">
        <v>0</v>
      </c>
      <c r="D21" s="344" t="str">
        <f t="shared" si="4"/>
        <v>MOTORISTAPOUSO ALEGRE</v>
      </c>
      <c r="E21" s="348"/>
      <c r="F21" s="353">
        <f t="shared" si="2"/>
        <v>0</v>
      </c>
      <c r="G21" s="289"/>
      <c r="H21" s="290"/>
      <c r="I21" s="290"/>
    </row>
    <row r="22" spans="1:9" ht="18" customHeight="1">
      <c r="A22" s="287">
        <v>15</v>
      </c>
      <c r="B22" s="288" t="s">
        <v>2078</v>
      </c>
      <c r="C22" s="338" t="s">
        <v>0</v>
      </c>
      <c r="D22" s="344" t="str">
        <f t="shared" si="4"/>
        <v>MOTORISTARIBEIRAO DAS NEVES</v>
      </c>
      <c r="E22" s="348"/>
      <c r="F22" s="353">
        <f t="shared" si="2"/>
        <v>0</v>
      </c>
      <c r="G22" s="289"/>
      <c r="H22" s="290"/>
      <c r="I22" s="290"/>
    </row>
    <row r="23" spans="1:9" ht="18" customHeight="1">
      <c r="A23" s="287">
        <v>16</v>
      </c>
      <c r="B23" s="288" t="s">
        <v>2137</v>
      </c>
      <c r="C23" s="338" t="s">
        <v>0</v>
      </c>
      <c r="D23" s="344" t="str">
        <f t="shared" si="4"/>
        <v>MOTORISTASAO JOAO DEL REI</v>
      </c>
      <c r="E23" s="348"/>
      <c r="F23" s="353">
        <f t="shared" si="2"/>
        <v>0</v>
      </c>
      <c r="G23" s="289"/>
      <c r="H23" s="290"/>
      <c r="I23" s="290"/>
    </row>
    <row r="24" spans="1:9" ht="18" customHeight="1">
      <c r="A24" s="287">
        <f>A23+1</f>
        <v>17</v>
      </c>
      <c r="B24" s="288" t="s">
        <v>2150</v>
      </c>
      <c r="C24" s="338" t="s">
        <v>0</v>
      </c>
      <c r="D24" s="344" t="str">
        <f t="shared" si="4"/>
        <v>MOTORISTASETE LAGOAS</v>
      </c>
      <c r="E24" s="348"/>
      <c r="F24" s="353">
        <f t="shared" si="2"/>
        <v>0</v>
      </c>
      <c r="G24" s="289"/>
      <c r="H24" s="290"/>
      <c r="I24" s="290"/>
    </row>
    <row r="25" spans="1:9" ht="18" customHeight="1">
      <c r="A25" s="287">
        <f>A24+1</f>
        <v>18</v>
      </c>
      <c r="B25" s="288" t="s">
        <v>2104</v>
      </c>
      <c r="C25" s="338" t="s">
        <v>0</v>
      </c>
      <c r="D25" s="344" t="str">
        <f t="shared" si="4"/>
        <v>MOTORISTATEOFILO OTONI</v>
      </c>
      <c r="E25" s="348"/>
      <c r="F25" s="353">
        <f t="shared" si="2"/>
        <v>0</v>
      </c>
      <c r="G25" s="289"/>
      <c r="H25" s="290"/>
      <c r="I25" s="351"/>
    </row>
    <row r="26" spans="1:9" ht="18" customHeight="1">
      <c r="A26" s="287">
        <f>A25+1</f>
        <v>19</v>
      </c>
      <c r="B26" s="288" t="s">
        <v>2076</v>
      </c>
      <c r="C26" s="338" t="s">
        <v>0</v>
      </c>
      <c r="D26" s="344" t="str">
        <f t="shared" si="4"/>
        <v>MOTORISTAUBERABA</v>
      </c>
      <c r="E26" s="348"/>
      <c r="F26" s="353">
        <f t="shared" si="2"/>
        <v>0</v>
      </c>
      <c r="G26" s="289"/>
      <c r="H26" s="290"/>
      <c r="I26" s="351"/>
    </row>
    <row r="27" spans="1:9" ht="18" customHeight="1">
      <c r="A27" s="287">
        <f>A26+1</f>
        <v>20</v>
      </c>
      <c r="B27" s="288" t="s">
        <v>2140</v>
      </c>
      <c r="C27" s="338" t="s">
        <v>0</v>
      </c>
      <c r="D27" s="344" t="str">
        <f t="shared" si="4"/>
        <v>MOTORISTAUBA</v>
      </c>
      <c r="E27" s="348"/>
      <c r="F27" s="353">
        <f t="shared" si="2"/>
        <v>0</v>
      </c>
      <c r="G27" s="289"/>
      <c r="H27" s="290"/>
      <c r="I27" s="290"/>
    </row>
    <row r="28" spans="1:9" ht="18" customHeight="1">
      <c r="A28" s="292">
        <f>A27+1</f>
        <v>21</v>
      </c>
      <c r="B28" s="288" t="s">
        <v>2080</v>
      </c>
      <c r="C28" s="340" t="s">
        <v>0</v>
      </c>
      <c r="D28" s="345" t="str">
        <f>CONCATENATE(C28,B28)</f>
        <v>MOTORISTAUBERLANDIA</v>
      </c>
      <c r="E28" s="348"/>
      <c r="F28" s="353">
        <f t="shared" si="2"/>
        <v>0</v>
      </c>
      <c r="G28" s="289"/>
      <c r="H28" s="290"/>
      <c r="I28" s="290"/>
    </row>
    <row r="29" spans="1:9" ht="18" customHeight="1">
      <c r="A29" s="291">
        <v>22</v>
      </c>
      <c r="B29" s="288" t="s">
        <v>2103</v>
      </c>
      <c r="C29" s="338" t="s">
        <v>0</v>
      </c>
      <c r="D29" s="344" t="str">
        <f>CONCATENATE(C29,B29)</f>
        <v>MOTORISTAVESPASIANO</v>
      </c>
      <c r="E29" s="349"/>
      <c r="F29" s="353">
        <f t="shared" si="2"/>
        <v>0</v>
      </c>
      <c r="G29" s="289"/>
      <c r="H29" s="290"/>
      <c r="I29" s="290"/>
    </row>
    <row r="30" spans="1:9" ht="18" customHeight="1" thickBot="1">
      <c r="A30" s="293">
        <f>A29+1</f>
        <v>23</v>
      </c>
      <c r="B30" s="294" t="s">
        <v>2201</v>
      </c>
      <c r="C30" s="339" t="s">
        <v>0</v>
      </c>
      <c r="D30" s="346" t="str">
        <f>CONCATENATE(C30,B30)</f>
        <v>MOTORISTASANTA LUZIA</v>
      </c>
      <c r="E30" s="350"/>
      <c r="F30" s="354">
        <f t="shared" si="2"/>
        <v>0</v>
      </c>
      <c r="G30" s="289"/>
      <c r="H30" s="290"/>
      <c r="I30" s="290"/>
    </row>
    <row r="31" spans="1:9" ht="18" customHeight="1">
      <c r="G31" s="289"/>
    </row>
  </sheetData>
  <mergeCells count="2">
    <mergeCell ref="A1:C1"/>
    <mergeCell ref="A2:D2"/>
  </mergeCells>
  <printOptions horizontalCentered="1" verticalCentered="1"/>
  <pageMargins left="0.78740157480314965" right="0.78740157480314965" top="0.98425196850393704" bottom="0.98425196850393704" header="0.51181102362204722" footer="0.51181102362204722"/>
  <pageSetup paperSize="9" scale="78"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75"/>
  <sheetViews>
    <sheetView view="pageBreakPreview" topLeftCell="D40" zoomScaleSheetLayoutView="100" workbookViewId="0">
      <selection activeCell="G57" sqref="G57"/>
    </sheetView>
  </sheetViews>
  <sheetFormatPr defaultRowHeight="12"/>
  <cols>
    <col min="1" max="1" width="6.42578125" style="43" customWidth="1"/>
    <col min="2" max="2" width="6.7109375" style="43" customWidth="1"/>
    <col min="3" max="3" width="13.140625" style="43" customWidth="1"/>
    <col min="4" max="4" width="12.7109375" style="45" customWidth="1"/>
    <col min="5" max="5" width="11" style="45" customWidth="1"/>
    <col min="6" max="6" width="30.42578125" style="43" customWidth="1"/>
    <col min="7" max="7" width="32.42578125" style="43" customWidth="1"/>
    <col min="8" max="8" width="31" style="43" customWidth="1"/>
    <col min="9" max="9" width="13.28515625" style="43" customWidth="1"/>
    <col min="10" max="10" width="15.28515625" style="43" customWidth="1"/>
    <col min="11" max="11" width="10.5703125" style="43" customWidth="1"/>
    <col min="12" max="12" width="12.140625" style="46" customWidth="1"/>
    <col min="13" max="13" width="13.42578125" style="43" customWidth="1"/>
    <col min="14" max="14" width="11.85546875" style="43" customWidth="1"/>
    <col min="15" max="15" width="11.7109375" style="43" customWidth="1"/>
    <col min="16" max="16" width="12.140625" style="43" customWidth="1"/>
    <col min="17" max="17" width="14" style="43" customWidth="1"/>
    <col min="18" max="18" width="11.42578125" style="47" customWidth="1"/>
    <col min="19" max="19" width="13.7109375" style="47" customWidth="1"/>
    <col min="20" max="20" width="11.28515625" style="48" customWidth="1"/>
    <col min="21" max="21" width="8.7109375" style="43" customWidth="1"/>
    <col min="22" max="22" width="9.7109375" style="47" customWidth="1"/>
    <col min="23" max="23" width="14.7109375" style="47" customWidth="1"/>
    <col min="24" max="24" width="15.42578125" style="47" customWidth="1"/>
    <col min="25" max="25" width="14.28515625" style="47" customWidth="1"/>
    <col min="26" max="26" width="31.7109375" style="48" customWidth="1"/>
    <col min="27" max="27" width="7.42578125" style="48" customWidth="1"/>
    <col min="28" max="28" width="5.28515625" style="43" customWidth="1"/>
    <col min="29" max="30" width="13.85546875" style="43" customWidth="1"/>
    <col min="31" max="31" width="11.140625" style="43" bestFit="1" customWidth="1"/>
    <col min="32" max="32" width="20" style="43" customWidth="1"/>
    <col min="33" max="33" width="27.5703125" style="43" customWidth="1"/>
    <col min="34" max="16384" width="9.140625" style="43"/>
  </cols>
  <sheetData>
    <row r="1" spans="1:33" ht="16.5" customHeight="1">
      <c r="D1"/>
      <c r="E1"/>
      <c r="F1"/>
      <c r="G1"/>
      <c r="H1"/>
      <c r="I1"/>
      <c r="J1"/>
      <c r="K1"/>
      <c r="L1"/>
      <c r="M1"/>
      <c r="N1"/>
      <c r="O1" s="110"/>
      <c r="P1" s="110"/>
      <c r="Q1" s="110"/>
      <c r="R1" s="110"/>
      <c r="S1" s="110"/>
      <c r="T1" s="43"/>
      <c r="V1" s="43"/>
      <c r="W1" s="43"/>
      <c r="X1" s="43"/>
      <c r="Y1" s="43"/>
      <c r="Z1" s="43"/>
      <c r="AA1" s="43"/>
    </row>
    <row r="2" spans="1:33" ht="23.25" customHeight="1">
      <c r="D2" s="127" t="s">
        <v>3160</v>
      </c>
      <c r="E2" s="128"/>
      <c r="F2" s="128"/>
      <c r="G2" s="129"/>
      <c r="H2" s="129"/>
      <c r="I2" s="129"/>
      <c r="J2" s="109"/>
      <c r="K2" s="109"/>
      <c r="L2" s="110"/>
      <c r="M2" s="110"/>
      <c r="N2" s="110"/>
      <c r="O2" s="110"/>
      <c r="P2" s="110"/>
      <c r="Q2" s="110"/>
      <c r="R2" s="110"/>
      <c r="S2" s="110"/>
      <c r="T2" s="43"/>
      <c r="V2" s="213"/>
      <c r="W2" s="213"/>
      <c r="X2" s="213"/>
      <c r="Y2" s="213"/>
      <c r="Z2" s="43"/>
      <c r="AA2" s="43"/>
    </row>
    <row r="3" spans="1:33" ht="25.5" customHeight="1" thickBot="1">
      <c r="D3" s="746" t="s">
        <v>3161</v>
      </c>
      <c r="E3" s="688"/>
      <c r="F3" s="688"/>
      <c r="G3" s="688"/>
      <c r="H3" s="400"/>
      <c r="I3" s="400"/>
      <c r="J3" s="111"/>
      <c r="K3" s="111"/>
      <c r="L3" s="112"/>
      <c r="M3" s="113"/>
      <c r="N3" s="113"/>
      <c r="O3" s="113"/>
      <c r="P3" s="113"/>
      <c r="Q3" s="325"/>
      <c r="R3" s="325"/>
      <c r="S3" s="325"/>
      <c r="T3" s="326"/>
      <c r="V3" s="213"/>
      <c r="W3" s="213"/>
      <c r="X3" s="213"/>
      <c r="Y3" s="213"/>
      <c r="Z3" s="43"/>
      <c r="AA3" s="43"/>
    </row>
    <row r="4" spans="1:33" ht="13.5" thickBot="1">
      <c r="C4" s="604"/>
      <c r="D4" s="607" t="s">
        <v>3162</v>
      </c>
      <c r="E4" s="603"/>
      <c r="F4" s="312"/>
      <c r="G4" s="312"/>
      <c r="H4" s="312"/>
      <c r="I4" s="312"/>
      <c r="J4" s="312"/>
      <c r="K4" s="312"/>
      <c r="L4" s="312"/>
      <c r="M4" s="312"/>
      <c r="N4" s="312"/>
      <c r="O4" s="313"/>
      <c r="P4" s="313"/>
      <c r="Q4" s="327"/>
      <c r="R4" s="327"/>
      <c r="S4" s="327"/>
      <c r="T4" s="328"/>
      <c r="V4" s="213"/>
      <c r="W4" s="213"/>
      <c r="X4" s="213"/>
      <c r="Y4" s="213"/>
      <c r="Z4" s="43"/>
      <c r="AA4" s="43"/>
    </row>
    <row r="5" spans="1:33" s="209" customFormat="1" ht="12.75" thickBot="1">
      <c r="C5" s="605"/>
      <c r="D5" s="608" t="s">
        <v>3164</v>
      </c>
      <c r="E5" s="317"/>
      <c r="F5" s="317"/>
      <c r="G5" s="317"/>
      <c r="H5" s="317"/>
      <c r="I5" s="317"/>
      <c r="J5" s="318"/>
      <c r="K5" s="314"/>
      <c r="L5" s="314"/>
      <c r="M5" s="314"/>
      <c r="N5" s="315"/>
      <c r="O5" s="316"/>
      <c r="P5" s="324"/>
      <c r="Q5" s="323"/>
      <c r="R5" s="322"/>
      <c r="S5" s="322"/>
      <c r="T5" s="329"/>
      <c r="V5" s="213"/>
      <c r="W5" s="213"/>
      <c r="X5" s="213"/>
      <c r="Y5" s="213"/>
    </row>
    <row r="6" spans="1:33" s="210" customFormat="1" ht="37.5" customHeight="1" thickBot="1">
      <c r="D6" s="606" t="s">
        <v>3165</v>
      </c>
      <c r="E6" s="747" t="s">
        <v>3874</v>
      </c>
      <c r="F6" s="748"/>
      <c r="G6" s="749"/>
      <c r="H6" s="403"/>
      <c r="I6" s="403"/>
      <c r="J6" s="211" t="s">
        <v>3166</v>
      </c>
      <c r="K6" s="211"/>
      <c r="L6" s="212">
        <v>42614</v>
      </c>
      <c r="M6" s="211" t="s">
        <v>3167</v>
      </c>
      <c r="N6" s="212">
        <v>42643</v>
      </c>
      <c r="O6" s="208" t="s">
        <v>3302</v>
      </c>
      <c r="P6" s="302"/>
      <c r="Q6" s="303" t="s">
        <v>3430</v>
      </c>
      <c r="R6" s="304">
        <f>2*(3.7+2.65)</f>
        <v>12.7</v>
      </c>
      <c r="S6" s="303" t="s">
        <v>3431</v>
      </c>
      <c r="T6" s="304">
        <f>2*3.7</f>
        <v>7.4</v>
      </c>
      <c r="V6" s="213"/>
      <c r="W6" s="213"/>
      <c r="X6" s="213"/>
      <c r="Y6" s="213"/>
      <c r="Z6" s="214"/>
      <c r="AA6" s="214"/>
    </row>
    <row r="7" spans="1:33" s="210" customFormat="1" ht="23.25" customHeight="1">
      <c r="Q7" s="331"/>
      <c r="R7" s="332"/>
      <c r="S7" s="332"/>
      <c r="T7" s="333"/>
      <c r="V7" s="213"/>
      <c r="W7" s="213"/>
      <c r="X7" s="213"/>
      <c r="Y7" s="213"/>
      <c r="Z7" s="214"/>
      <c r="AA7" s="214"/>
      <c r="AC7" s="210" t="s">
        <v>329</v>
      </c>
      <c r="AE7" s="210" t="s">
        <v>3709</v>
      </c>
      <c r="AF7" s="404" t="s">
        <v>3710</v>
      </c>
    </row>
    <row r="8" spans="1:33" s="210" customFormat="1" ht="23.25" customHeight="1">
      <c r="C8" s="750" t="s">
        <v>3301</v>
      </c>
      <c r="D8" s="750"/>
      <c r="E8" s="750"/>
      <c r="F8" s="750"/>
      <c r="G8" s="750"/>
      <c r="H8" s="750"/>
      <c r="I8" s="750"/>
      <c r="J8" s="750"/>
      <c r="K8" s="750"/>
      <c r="L8" s="750"/>
      <c r="M8" s="750"/>
      <c r="N8" s="750"/>
      <c r="O8" s="750"/>
      <c r="P8" s="750"/>
      <c r="Q8" s="750"/>
      <c r="R8" s="750"/>
      <c r="S8" s="750"/>
      <c r="T8" s="750"/>
      <c r="U8" s="750"/>
      <c r="V8" s="750"/>
      <c r="W8" s="750"/>
      <c r="X8" s="750"/>
      <c r="Y8" s="750"/>
      <c r="Z8" s="214"/>
      <c r="AA8" s="214"/>
      <c r="AC8" s="210" t="s">
        <v>3136</v>
      </c>
      <c r="AE8" s="404"/>
      <c r="AF8" s="404" t="s">
        <v>3711</v>
      </c>
      <c r="AG8" s="404"/>
    </row>
    <row r="9" spans="1:33" ht="36.75" thickBot="1">
      <c r="AF9" s="404" t="s">
        <v>3712</v>
      </c>
    </row>
    <row r="10" spans="1:33" s="49" customFormat="1" ht="34.5" customHeight="1" thickBot="1">
      <c r="A10" s="751" t="s">
        <v>3533</v>
      </c>
      <c r="B10" s="751" t="s">
        <v>3572</v>
      </c>
      <c r="C10" s="745" t="s">
        <v>2070</v>
      </c>
      <c r="D10" s="745" t="s">
        <v>2246</v>
      </c>
      <c r="E10" s="745" t="s">
        <v>45</v>
      </c>
      <c r="F10" s="745" t="s">
        <v>1171</v>
      </c>
      <c r="G10" s="745" t="s">
        <v>1</v>
      </c>
      <c r="H10" s="745" t="s">
        <v>3435</v>
      </c>
      <c r="I10" s="745" t="s">
        <v>3570</v>
      </c>
      <c r="J10" s="745" t="s">
        <v>1272</v>
      </c>
      <c r="K10" s="745" t="s">
        <v>3571</v>
      </c>
      <c r="L10" s="756" t="s">
        <v>3643</v>
      </c>
      <c r="M10" s="745" t="s">
        <v>3644</v>
      </c>
      <c r="N10" s="745" t="s">
        <v>3645</v>
      </c>
      <c r="O10" s="754" t="s">
        <v>3646</v>
      </c>
      <c r="P10" s="754"/>
      <c r="Q10" s="754"/>
      <c r="R10" s="754"/>
      <c r="S10" s="754"/>
      <c r="T10" s="321" t="s">
        <v>3708</v>
      </c>
      <c r="U10" s="755" t="s">
        <v>3647</v>
      </c>
      <c r="V10" s="755"/>
      <c r="W10" s="755"/>
      <c r="X10" s="755"/>
      <c r="Y10" s="755"/>
      <c r="Z10" s="753" t="s">
        <v>2202</v>
      </c>
      <c r="AA10" s="49" t="s">
        <v>3655</v>
      </c>
    </row>
    <row r="11" spans="1:33" s="49" customFormat="1" ht="58.5" customHeight="1" thickBot="1">
      <c r="A11" s="752"/>
      <c r="B11" s="752"/>
      <c r="C11" s="745"/>
      <c r="D11" s="745"/>
      <c r="E11" s="745"/>
      <c r="F11" s="745"/>
      <c r="G11" s="745"/>
      <c r="H11" s="745"/>
      <c r="I11" s="745"/>
      <c r="J11" s="745"/>
      <c r="K11" s="745"/>
      <c r="L11" s="756"/>
      <c r="M11" s="745"/>
      <c r="N11" s="745"/>
      <c r="O11" s="401" t="s">
        <v>3648</v>
      </c>
      <c r="P11" s="401" t="s">
        <v>3649</v>
      </c>
      <c r="Q11" s="401" t="s">
        <v>2</v>
      </c>
      <c r="R11" s="330" t="s">
        <v>3650</v>
      </c>
      <c r="S11" s="330" t="s">
        <v>3651</v>
      </c>
      <c r="T11" s="396" t="s">
        <v>3652</v>
      </c>
      <c r="U11" s="402" t="s">
        <v>3648</v>
      </c>
      <c r="V11" s="397" t="s">
        <v>3653</v>
      </c>
      <c r="W11" s="397" t="s">
        <v>2</v>
      </c>
      <c r="X11" s="397" t="s">
        <v>3654</v>
      </c>
      <c r="Y11" s="397" t="s">
        <v>3651</v>
      </c>
      <c r="Z11" s="753"/>
      <c r="AA11" s="49" t="s">
        <v>3656</v>
      </c>
    </row>
    <row r="12" spans="1:33" s="393" customFormat="1" ht="15.95" customHeight="1">
      <c r="A12" s="319">
        <f>'BANCO DADOS-CUSTO TOTAL'!A11</f>
        <v>1</v>
      </c>
      <c r="B12" s="319">
        <f>'BANCO DADOS-CUSTO TOTAL'!B11</f>
        <v>1</v>
      </c>
      <c r="C12" s="319" t="str">
        <f>'BANCO DADOS-CUSTO TOTAL'!C11</f>
        <v>Aracuai</v>
      </c>
      <c r="D12" s="320">
        <f>'BANCO DADOS-CUSTO TOTAL'!F11</f>
        <v>1</v>
      </c>
      <c r="E12" s="100">
        <f>'BANCO DADOS-CUSTO TOTAL'!G11</f>
        <v>12341</v>
      </c>
      <c r="F12" s="100" t="str">
        <f>'BANCO DADOS-CUSTO TOTAL'!H11</f>
        <v>BELTRANO 12341</v>
      </c>
      <c r="G12" s="100" t="str">
        <f>'BANCO DADOS-CUSTO TOTAL'!I11</f>
        <v>VIGILANTE ARMADO - 220 H</v>
      </c>
      <c r="H12" s="100" t="str">
        <f>'BANCO DADOS-CUSTO TOTAL'!K11</f>
        <v>AracuaiVIGILANTE ARMADO - 220 H</v>
      </c>
      <c r="I12" s="101" t="str">
        <f>'BANCO DADOS-CUSTO TOTAL'!J11</f>
        <v>Efetivo</v>
      </c>
      <c r="J12" s="399">
        <f>'BANCO DADOS-CUSTO TOTAL'!Q11</f>
        <v>1602.86</v>
      </c>
      <c r="K12" s="539">
        <f>'BANCO DADOS-CUSTO TOTAL'!Z11</f>
        <v>0</v>
      </c>
      <c r="L12" s="100">
        <f>'BANCO DADOS-CUSTO TOTAL'!AA11</f>
        <v>30</v>
      </c>
      <c r="M12" s="383">
        <f>(J12/30)*(L12-K12)</f>
        <v>1602.86</v>
      </c>
      <c r="N12" s="101"/>
      <c r="O12" s="422">
        <f>IF(G12="VIGILANTE ARMADO - 220 H",20,15.5)</f>
        <v>20</v>
      </c>
      <c r="P12" s="356">
        <f>VLOOKUP(H12,PARAMETROS!E:AX,12,0)</f>
        <v>15.99</v>
      </c>
      <c r="Q12" s="426">
        <f>O12*P12</f>
        <v>319.8</v>
      </c>
      <c r="R12" s="426">
        <f>Q12*10%</f>
        <v>31.980000000000004</v>
      </c>
      <c r="S12" s="426">
        <f>IF(Q12&lt;1,0,Q12-R12)</f>
        <v>287.82</v>
      </c>
      <c r="T12" s="356"/>
      <c r="U12" s="422">
        <f>O12</f>
        <v>20</v>
      </c>
      <c r="V12" s="426">
        <f>IF(C12="BELO HORIZONTE",$R$6,$T$6)</f>
        <v>7.4</v>
      </c>
      <c r="W12" s="426">
        <f>V12*U12</f>
        <v>148</v>
      </c>
      <c r="X12" s="126">
        <f>IF(U12&lt;20,IF(W12&lt;M12*6/100,(W12),(M12*6/100)),IF(W12&lt;J12*6/100,(W12),(J12*6/100)))</f>
        <v>96.171599999999998</v>
      </c>
      <c r="Y12" s="427">
        <f>W12-X12</f>
        <v>51.828400000000002</v>
      </c>
      <c r="Z12" s="392"/>
      <c r="AA12" s="428" t="s">
        <v>3830</v>
      </c>
      <c r="AB12" s="395"/>
      <c r="AC12" s="430"/>
      <c r="AD12" s="430"/>
      <c r="AE12" s="432"/>
      <c r="AF12" s="433"/>
      <c r="AG12" s="433"/>
    </row>
    <row r="13" spans="1:33" s="554" customFormat="1" ht="15.95" customHeight="1">
      <c r="A13" s="540"/>
      <c r="B13" s="540"/>
      <c r="C13" s="540" t="str">
        <f>'BANCO DADOS-CUSTO TOTAL'!C12</f>
        <v>TOTAL ARACUAI</v>
      </c>
      <c r="D13" s="541"/>
      <c r="E13" s="542"/>
      <c r="F13" s="542"/>
      <c r="G13" s="542"/>
      <c r="H13" s="542"/>
      <c r="I13" s="543"/>
      <c r="J13" s="544"/>
      <c r="K13" s="545"/>
      <c r="L13" s="542"/>
      <c r="M13" s="460"/>
      <c r="N13" s="543"/>
      <c r="O13" s="546"/>
      <c r="P13" s="459"/>
      <c r="Q13" s="544"/>
      <c r="R13" s="544"/>
      <c r="S13" s="544"/>
      <c r="T13" s="459"/>
      <c r="U13" s="546"/>
      <c r="V13" s="544"/>
      <c r="W13" s="544"/>
      <c r="X13" s="461"/>
      <c r="Y13" s="547"/>
      <c r="Z13" s="548"/>
      <c r="AA13" s="549" t="s">
        <v>3830</v>
      </c>
      <c r="AB13" s="550"/>
      <c r="AC13" s="551"/>
      <c r="AD13" s="551"/>
      <c r="AE13" s="552"/>
      <c r="AF13" s="553"/>
      <c r="AG13" s="553"/>
    </row>
    <row r="14" spans="1:33" s="393" customFormat="1" ht="15.95" customHeight="1">
      <c r="A14" s="319">
        <f>'BANCO DADOS-CUSTO TOTAL'!A13</f>
        <v>1</v>
      </c>
      <c r="B14" s="319">
        <f>'BANCO DADOS-CUSTO TOTAL'!B13</f>
        <v>1</v>
      </c>
      <c r="C14" s="319" t="str">
        <f>'BANCO DADOS-CUSTO TOTAL'!C13</f>
        <v>Araguari</v>
      </c>
      <c r="D14" s="320">
        <f>'BANCO DADOS-CUSTO TOTAL'!F13</f>
        <v>2</v>
      </c>
      <c r="E14" s="100">
        <f>'BANCO DADOS-CUSTO TOTAL'!G13</f>
        <v>12342</v>
      </c>
      <c r="F14" s="100" t="str">
        <f>'BANCO DADOS-CUSTO TOTAL'!H13</f>
        <v>BELTRANO 12342</v>
      </c>
      <c r="G14" s="100" t="str">
        <f>'BANCO DADOS-CUSTO TOTAL'!I13</f>
        <v>VIGILANTE ARMADO - 220 H</v>
      </c>
      <c r="H14" s="100" t="str">
        <f>'BANCO DADOS-CUSTO TOTAL'!K13</f>
        <v>AraguariVIGILANTE ARMADO - 220 H</v>
      </c>
      <c r="I14" s="101" t="str">
        <f>'BANCO DADOS-CUSTO TOTAL'!J13</f>
        <v>Efetivo</v>
      </c>
      <c r="J14" s="399">
        <f>'BANCO DADOS-CUSTO TOTAL'!Q13</f>
        <v>1602.86</v>
      </c>
      <c r="K14" s="539">
        <f>'BANCO DADOS-CUSTO TOTAL'!Z13</f>
        <v>0</v>
      </c>
      <c r="L14" s="100">
        <f>'BANCO DADOS-CUSTO TOTAL'!AA13</f>
        <v>30</v>
      </c>
      <c r="M14" s="383">
        <f t="shared" ref="M14:M76" si="0">(J14/30)*(L14-K14)</f>
        <v>1602.86</v>
      </c>
      <c r="N14" s="101"/>
      <c r="O14" s="422">
        <f>IF(G14="VIGILANTE ARMADO - 220 H",20,15.5)</f>
        <v>20</v>
      </c>
      <c r="P14" s="356">
        <f>VLOOKUP(H14,PARAMETROS!E:AX,12,0)</f>
        <v>15.99</v>
      </c>
      <c r="Q14" s="426">
        <f t="shared" ref="Q14:Q76" si="1">O14*P14</f>
        <v>319.8</v>
      </c>
      <c r="R14" s="426">
        <f>Q14*10%</f>
        <v>31.980000000000004</v>
      </c>
      <c r="S14" s="426">
        <f t="shared" ref="S14:S76" si="2">IF(Q14&lt;1,0,Q14-R14)</f>
        <v>287.82</v>
      </c>
      <c r="T14" s="356"/>
      <c r="U14" s="422">
        <f>O14</f>
        <v>20</v>
      </c>
      <c r="V14" s="426">
        <f t="shared" ref="V14:V76" si="3">IF(C14="BELO HORIZONTE",$R$6,$T$6)</f>
        <v>7.4</v>
      </c>
      <c r="W14" s="426">
        <f t="shared" ref="W14:W76" si="4">V14*U14</f>
        <v>148</v>
      </c>
      <c r="X14" s="126">
        <f t="shared" ref="X14:X76" si="5">IF(U14&lt;20,IF(W14&lt;M14*6/100,(W14),(M14*6/100)),IF(W14&lt;J14*6/100,(W14),(J14*6/100)))</f>
        <v>96.171599999999998</v>
      </c>
      <c r="Y14" s="427">
        <f t="shared" ref="Y14:Y76" si="6">W14-X14</f>
        <v>51.828400000000002</v>
      </c>
      <c r="Z14" s="392"/>
      <c r="AA14" s="428"/>
      <c r="AB14" s="395"/>
      <c r="AC14" s="430"/>
      <c r="AD14" s="430"/>
      <c r="AE14" s="432"/>
      <c r="AF14" s="433"/>
      <c r="AG14" s="433"/>
    </row>
    <row r="15" spans="1:33" s="554" customFormat="1" ht="15.95" customHeight="1">
      <c r="A15" s="540"/>
      <c r="B15" s="540"/>
      <c r="C15" s="540" t="str">
        <f>'BANCO DADOS-CUSTO TOTAL'!C14</f>
        <v>TOTAL ARAGUARI</v>
      </c>
      <c r="D15" s="541"/>
      <c r="E15" s="542"/>
      <c r="F15" s="542"/>
      <c r="G15" s="542"/>
      <c r="H15" s="542"/>
      <c r="I15" s="543"/>
      <c r="J15" s="544"/>
      <c r="K15" s="545"/>
      <c r="L15" s="542"/>
      <c r="M15" s="460"/>
      <c r="N15" s="543"/>
      <c r="O15" s="546"/>
      <c r="P15" s="459"/>
      <c r="Q15" s="544"/>
      <c r="R15" s="544"/>
      <c r="S15" s="544"/>
      <c r="T15" s="459"/>
      <c r="U15" s="546"/>
      <c r="V15" s="544"/>
      <c r="W15" s="544"/>
      <c r="X15" s="461"/>
      <c r="Y15" s="547"/>
      <c r="Z15" s="548"/>
      <c r="AA15" s="549" t="s">
        <v>3830</v>
      </c>
      <c r="AB15" s="550"/>
      <c r="AC15" s="551"/>
      <c r="AD15" s="551"/>
      <c r="AE15" s="552"/>
      <c r="AF15" s="553"/>
      <c r="AG15" s="553"/>
    </row>
    <row r="16" spans="1:33" s="393" customFormat="1" ht="15.95" customHeight="1">
      <c r="A16" s="319">
        <f>'BANCO DADOS-CUSTO TOTAL'!A15</f>
        <v>1</v>
      </c>
      <c r="B16" s="319">
        <f>'BANCO DADOS-CUSTO TOTAL'!B15</f>
        <v>1</v>
      </c>
      <c r="C16" s="319" t="str">
        <f>'BANCO DADOS-CUSTO TOTAL'!C15</f>
        <v>Barbacena</v>
      </c>
      <c r="D16" s="320">
        <f>'BANCO DADOS-CUSTO TOTAL'!F15</f>
        <v>3</v>
      </c>
      <c r="E16" s="100">
        <f>'BANCO DADOS-CUSTO TOTAL'!G15</f>
        <v>12343</v>
      </c>
      <c r="F16" s="100" t="str">
        <f>'BANCO DADOS-CUSTO TOTAL'!H15</f>
        <v>BELTRANO 12343</v>
      </c>
      <c r="G16" s="100" t="str">
        <f>'BANCO DADOS-CUSTO TOTAL'!I15</f>
        <v>VIGILANTE ARMADO - 220 H</v>
      </c>
      <c r="H16" s="100" t="str">
        <f>'BANCO DADOS-CUSTO TOTAL'!K15</f>
        <v>BarbacenaVIGILANTE ARMADO - 220 H</v>
      </c>
      <c r="I16" s="101" t="str">
        <f>'BANCO DADOS-CUSTO TOTAL'!J15</f>
        <v>Efetivo</v>
      </c>
      <c r="J16" s="399">
        <f>'BANCO DADOS-CUSTO TOTAL'!Q15</f>
        <v>1602.86</v>
      </c>
      <c r="K16" s="539">
        <f>'BANCO DADOS-CUSTO TOTAL'!Z15</f>
        <v>0</v>
      </c>
      <c r="L16" s="100">
        <f>'BANCO DADOS-CUSTO TOTAL'!AA15</f>
        <v>30</v>
      </c>
      <c r="M16" s="383">
        <f t="shared" si="0"/>
        <v>1602.86</v>
      </c>
      <c r="N16" s="101"/>
      <c r="O16" s="422">
        <f>IF(G16="VIGILANTE ARMADO - 220 H",20,15.5)</f>
        <v>20</v>
      </c>
      <c r="P16" s="356">
        <f>VLOOKUP(H16,PARAMETROS!E:AX,12,0)</f>
        <v>15.99</v>
      </c>
      <c r="Q16" s="426">
        <f t="shared" si="1"/>
        <v>319.8</v>
      </c>
      <c r="R16" s="426">
        <f>Q16*10%</f>
        <v>31.980000000000004</v>
      </c>
      <c r="S16" s="426">
        <f t="shared" si="2"/>
        <v>287.82</v>
      </c>
      <c r="T16" s="356"/>
      <c r="U16" s="422">
        <f>O16</f>
        <v>20</v>
      </c>
      <c r="V16" s="426">
        <f t="shared" si="3"/>
        <v>7.4</v>
      </c>
      <c r="W16" s="426">
        <f t="shared" si="4"/>
        <v>148</v>
      </c>
      <c r="X16" s="126">
        <f t="shared" si="5"/>
        <v>96.171599999999998</v>
      </c>
      <c r="Y16" s="427">
        <f t="shared" si="6"/>
        <v>51.828400000000002</v>
      </c>
      <c r="Z16" s="392"/>
      <c r="AA16" s="428"/>
      <c r="AB16" s="395"/>
      <c r="AC16" s="430"/>
      <c r="AD16" s="430"/>
      <c r="AE16" s="432"/>
      <c r="AF16" s="433"/>
      <c r="AG16" s="433"/>
    </row>
    <row r="17" spans="1:33" s="554" customFormat="1" ht="15.95" customHeight="1">
      <c r="A17" s="540"/>
      <c r="B17" s="540"/>
      <c r="C17" s="540" t="str">
        <f>'BANCO DADOS-CUSTO TOTAL'!C16</f>
        <v>TOTAL BARBACENA</v>
      </c>
      <c r="D17" s="541"/>
      <c r="E17" s="542"/>
      <c r="F17" s="542"/>
      <c r="G17" s="542"/>
      <c r="H17" s="542"/>
      <c r="I17" s="543"/>
      <c r="J17" s="544"/>
      <c r="K17" s="545"/>
      <c r="L17" s="542"/>
      <c r="M17" s="460"/>
      <c r="N17" s="543"/>
      <c r="O17" s="546"/>
      <c r="P17" s="459"/>
      <c r="Q17" s="544"/>
      <c r="R17" s="544"/>
      <c r="S17" s="544"/>
      <c r="T17" s="459"/>
      <c r="U17" s="546"/>
      <c r="V17" s="544"/>
      <c r="W17" s="544"/>
      <c r="X17" s="461"/>
      <c r="Y17" s="547"/>
      <c r="Z17" s="548"/>
      <c r="AA17" s="549" t="s">
        <v>3830</v>
      </c>
      <c r="AB17" s="550"/>
      <c r="AC17" s="551"/>
      <c r="AD17" s="551"/>
      <c r="AE17" s="552"/>
      <c r="AF17" s="553"/>
      <c r="AG17" s="553"/>
    </row>
    <row r="18" spans="1:33" s="393" customFormat="1" ht="15.95" customHeight="1">
      <c r="A18" s="319">
        <f>'BANCO DADOS-CUSTO TOTAL'!A17</f>
        <v>1</v>
      </c>
      <c r="B18" s="319">
        <f>'BANCO DADOS-CUSTO TOTAL'!B17</f>
        <v>1</v>
      </c>
      <c r="C18" s="319" t="str">
        <f>'BANCO DADOS-CUSTO TOTAL'!C17</f>
        <v>Belo Horizonte</v>
      </c>
      <c r="D18" s="320">
        <f>'BANCO DADOS-CUSTO TOTAL'!F17</f>
        <v>4</v>
      </c>
      <c r="E18" s="100">
        <f>'BANCO DADOS-CUSTO TOTAL'!G17</f>
        <v>12344</v>
      </c>
      <c r="F18" s="100" t="str">
        <f>'BANCO DADOS-CUSTO TOTAL'!H17</f>
        <v>BELTRANO 12344</v>
      </c>
      <c r="G18" s="100" t="str">
        <f>'BANCO DADOS-CUSTO TOTAL'!I17</f>
        <v>VIGILANTE ARMADO - 220 H</v>
      </c>
      <c r="H18" s="100" t="str">
        <f>'BANCO DADOS-CUSTO TOTAL'!K17</f>
        <v>Belo HorizonteVIGILANTE ARMADO - 220 H</v>
      </c>
      <c r="I18" s="101" t="str">
        <f>'BANCO DADOS-CUSTO TOTAL'!J17</f>
        <v>Efetivo</v>
      </c>
      <c r="J18" s="399">
        <f>'BANCO DADOS-CUSTO TOTAL'!Q17</f>
        <v>1602.86</v>
      </c>
      <c r="K18" s="539">
        <f>'BANCO DADOS-CUSTO TOTAL'!Z17</f>
        <v>0</v>
      </c>
      <c r="L18" s="100">
        <f>'BANCO DADOS-CUSTO TOTAL'!AA17</f>
        <v>30</v>
      </c>
      <c r="M18" s="383">
        <f t="shared" si="0"/>
        <v>1602.86</v>
      </c>
      <c r="N18" s="101"/>
      <c r="O18" s="422">
        <f>IF(G18="VIGILANTE ARMADO - 220 H",20,15.5)</f>
        <v>20</v>
      </c>
      <c r="P18" s="356">
        <f>VLOOKUP(H18,PARAMETROS!E:AX,12,0)</f>
        <v>15.99</v>
      </c>
      <c r="Q18" s="426">
        <f t="shared" si="1"/>
        <v>319.8</v>
      </c>
      <c r="R18" s="426">
        <f t="shared" ref="R18:R60" si="7">Q18*10%</f>
        <v>31.980000000000004</v>
      </c>
      <c r="S18" s="426">
        <f t="shared" si="2"/>
        <v>287.82</v>
      </c>
      <c r="T18" s="356"/>
      <c r="U18" s="422">
        <f t="shared" ref="U18:U60" si="8">O18</f>
        <v>20</v>
      </c>
      <c r="V18" s="426">
        <f t="shared" si="3"/>
        <v>12.7</v>
      </c>
      <c r="W18" s="426">
        <f t="shared" si="4"/>
        <v>254</v>
      </c>
      <c r="X18" s="126">
        <f t="shared" si="5"/>
        <v>96.171599999999998</v>
      </c>
      <c r="Y18" s="427">
        <f t="shared" si="6"/>
        <v>157.82839999999999</v>
      </c>
      <c r="Z18" s="392"/>
      <c r="AA18" s="428"/>
      <c r="AB18" s="395"/>
      <c r="AC18" s="430"/>
      <c r="AD18" s="430"/>
      <c r="AE18" s="432"/>
      <c r="AF18" s="433"/>
      <c r="AG18" s="433"/>
    </row>
    <row r="19" spans="1:33" s="393" customFormat="1" ht="15.95" customHeight="1">
      <c r="A19" s="319">
        <f>'BANCO DADOS-CUSTO TOTAL'!A18</f>
        <v>1</v>
      </c>
      <c r="B19" s="319">
        <f>'BANCO DADOS-CUSTO TOTAL'!B18</f>
        <v>1</v>
      </c>
      <c r="C19" s="319" t="str">
        <f>'BANCO DADOS-CUSTO TOTAL'!C18</f>
        <v>Belo Horizonte</v>
      </c>
      <c r="D19" s="320">
        <f>'BANCO DADOS-CUSTO TOTAL'!F18</f>
        <v>5</v>
      </c>
      <c r="E19" s="100">
        <f>'BANCO DADOS-CUSTO TOTAL'!G18</f>
        <v>12345</v>
      </c>
      <c r="F19" s="100" t="str">
        <f>'BANCO DADOS-CUSTO TOTAL'!H18</f>
        <v>BELTRANO 12345</v>
      </c>
      <c r="G19" s="100" t="str">
        <f>'BANCO DADOS-CUSTO TOTAL'!I18</f>
        <v>VIGILANTE ARMADO - 220 H</v>
      </c>
      <c r="H19" s="100" t="str">
        <f>'BANCO DADOS-CUSTO TOTAL'!K18</f>
        <v>Belo HorizonteVIGILANTE ARMADO - 220 H</v>
      </c>
      <c r="I19" s="101" t="str">
        <f>'BANCO DADOS-CUSTO TOTAL'!J18</f>
        <v>Efetivo</v>
      </c>
      <c r="J19" s="399">
        <f>'BANCO DADOS-CUSTO TOTAL'!Q18</f>
        <v>1602.86</v>
      </c>
      <c r="K19" s="539">
        <f>'BANCO DADOS-CUSTO TOTAL'!Z18</f>
        <v>0</v>
      </c>
      <c r="L19" s="100">
        <f>'BANCO DADOS-CUSTO TOTAL'!AA18</f>
        <v>30</v>
      </c>
      <c r="M19" s="383">
        <f t="shared" si="0"/>
        <v>1602.86</v>
      </c>
      <c r="N19" s="101"/>
      <c r="O19" s="422">
        <f>IF(G19="VIGILANTE ARMADO - 220 H",20,15.5)</f>
        <v>20</v>
      </c>
      <c r="P19" s="356">
        <f>VLOOKUP(H19,PARAMETROS!E:AX,12,0)</f>
        <v>15.99</v>
      </c>
      <c r="Q19" s="426">
        <f t="shared" si="1"/>
        <v>319.8</v>
      </c>
      <c r="R19" s="426">
        <f t="shared" si="7"/>
        <v>31.980000000000004</v>
      </c>
      <c r="S19" s="426">
        <f t="shared" si="2"/>
        <v>287.82</v>
      </c>
      <c r="T19" s="356"/>
      <c r="U19" s="422">
        <f t="shared" si="8"/>
        <v>20</v>
      </c>
      <c r="V19" s="426">
        <f t="shared" si="3"/>
        <v>12.7</v>
      </c>
      <c r="W19" s="426">
        <f t="shared" si="4"/>
        <v>254</v>
      </c>
      <c r="X19" s="126">
        <f t="shared" si="5"/>
        <v>96.171599999999998</v>
      </c>
      <c r="Y19" s="427">
        <f t="shared" si="6"/>
        <v>157.82839999999999</v>
      </c>
      <c r="Z19" s="392"/>
      <c r="AA19" s="428"/>
      <c r="AB19" s="395"/>
      <c r="AC19" s="430"/>
      <c r="AD19" s="430"/>
      <c r="AE19" s="432"/>
      <c r="AF19" s="433"/>
      <c r="AG19" s="433"/>
    </row>
    <row r="20" spans="1:33" s="393" customFormat="1" ht="15.95" customHeight="1">
      <c r="A20" s="319">
        <f>'BANCO DADOS-CUSTO TOTAL'!A19</f>
        <v>1</v>
      </c>
      <c r="B20" s="319">
        <f>'BANCO DADOS-CUSTO TOTAL'!B19</f>
        <v>1</v>
      </c>
      <c r="C20" s="319" t="str">
        <f>'BANCO DADOS-CUSTO TOTAL'!C19</f>
        <v>Belo Horizonte</v>
      </c>
      <c r="D20" s="320">
        <f>'BANCO DADOS-CUSTO TOTAL'!F19</f>
        <v>6</v>
      </c>
      <c r="E20" s="100">
        <f>'BANCO DADOS-CUSTO TOTAL'!G19</f>
        <v>12346</v>
      </c>
      <c r="F20" s="100" t="str">
        <f>'BANCO DADOS-CUSTO TOTAL'!H19</f>
        <v>BELTRANO 12346</v>
      </c>
      <c r="G20" s="100" t="str">
        <f>'BANCO DADOS-CUSTO TOTAL'!I19</f>
        <v>VIGILANTE ARMADO - 220 H</v>
      </c>
      <c r="H20" s="100" t="str">
        <f>'BANCO DADOS-CUSTO TOTAL'!K19</f>
        <v>Belo HorizonteVIGILANTE ARMADO - 220 H</v>
      </c>
      <c r="I20" s="101" t="str">
        <f>'BANCO DADOS-CUSTO TOTAL'!J19</f>
        <v>Efetivo</v>
      </c>
      <c r="J20" s="399">
        <f>'BANCO DADOS-CUSTO TOTAL'!Q19</f>
        <v>1602.86</v>
      </c>
      <c r="K20" s="539">
        <f>'BANCO DADOS-CUSTO TOTAL'!Z19</f>
        <v>0</v>
      </c>
      <c r="L20" s="100">
        <f>'BANCO DADOS-CUSTO TOTAL'!AA19</f>
        <v>30</v>
      </c>
      <c r="M20" s="383">
        <f t="shared" si="0"/>
        <v>1602.86</v>
      </c>
      <c r="N20" s="101"/>
      <c r="O20" s="422">
        <f>IF(G20="VIGILANTE ARMADO - 220 H",20,15.5)</f>
        <v>20</v>
      </c>
      <c r="P20" s="356">
        <f>VLOOKUP(H20,PARAMETROS!E:AX,12,0)</f>
        <v>15.99</v>
      </c>
      <c r="Q20" s="426">
        <f t="shared" si="1"/>
        <v>319.8</v>
      </c>
      <c r="R20" s="426">
        <f t="shared" si="7"/>
        <v>31.980000000000004</v>
      </c>
      <c r="S20" s="426">
        <f t="shared" si="2"/>
        <v>287.82</v>
      </c>
      <c r="T20" s="356"/>
      <c r="U20" s="422">
        <f t="shared" si="8"/>
        <v>20</v>
      </c>
      <c r="V20" s="426">
        <f t="shared" si="3"/>
        <v>12.7</v>
      </c>
      <c r="W20" s="426">
        <f t="shared" si="4"/>
        <v>254</v>
      </c>
      <c r="X20" s="126">
        <f t="shared" si="5"/>
        <v>96.171599999999998</v>
      </c>
      <c r="Y20" s="427">
        <f t="shared" si="6"/>
        <v>157.82839999999999</v>
      </c>
      <c r="Z20" s="392"/>
      <c r="AA20" s="428"/>
      <c r="AB20" s="395"/>
      <c r="AC20" s="430"/>
      <c r="AD20" s="430"/>
      <c r="AE20" s="432"/>
      <c r="AF20" s="433"/>
      <c r="AG20" s="433"/>
    </row>
    <row r="21" spans="1:33" s="393" customFormat="1" ht="15.95" customHeight="1">
      <c r="A21" s="319">
        <f>'BANCO DADOS-CUSTO TOTAL'!A20</f>
        <v>1</v>
      </c>
      <c r="B21" s="319">
        <f>'BANCO DADOS-CUSTO TOTAL'!B20</f>
        <v>1</v>
      </c>
      <c r="C21" s="319" t="str">
        <f>'BANCO DADOS-CUSTO TOTAL'!C20</f>
        <v>Belo Horizonte</v>
      </c>
      <c r="D21" s="320">
        <f>'BANCO DADOS-CUSTO TOTAL'!F20</f>
        <v>7</v>
      </c>
      <c r="E21" s="100">
        <f>'BANCO DADOS-CUSTO TOTAL'!G20</f>
        <v>12347</v>
      </c>
      <c r="F21" s="100" t="str">
        <f>'BANCO DADOS-CUSTO TOTAL'!H20</f>
        <v>BELTRANO 12347</v>
      </c>
      <c r="G21" s="100" t="str">
        <f>'BANCO DADOS-CUSTO TOTAL'!I20</f>
        <v>VIGILANTE ARMADO - 220 H</v>
      </c>
      <c r="H21" s="100" t="str">
        <f>'BANCO DADOS-CUSTO TOTAL'!K20</f>
        <v>Belo HorizonteVIGILANTE ARMADO - 220 H</v>
      </c>
      <c r="I21" s="101" t="str">
        <f>'BANCO DADOS-CUSTO TOTAL'!J20</f>
        <v>Efetivo</v>
      </c>
      <c r="J21" s="399">
        <f>'BANCO DADOS-CUSTO TOTAL'!Q20</f>
        <v>1602.86</v>
      </c>
      <c r="K21" s="539">
        <f>'BANCO DADOS-CUSTO TOTAL'!Z20</f>
        <v>0</v>
      </c>
      <c r="L21" s="100">
        <f>'BANCO DADOS-CUSTO TOTAL'!AA20</f>
        <v>30</v>
      </c>
      <c r="M21" s="383">
        <f t="shared" si="0"/>
        <v>1602.86</v>
      </c>
      <c r="N21" s="101"/>
      <c r="O21" s="422">
        <f>IF(G21="VIGILANTE ARMADO - 220 H",20,15.5)</f>
        <v>20</v>
      </c>
      <c r="P21" s="356">
        <f>VLOOKUP(H21,PARAMETROS!E:AX,12,0)</f>
        <v>15.99</v>
      </c>
      <c r="Q21" s="426">
        <f t="shared" si="1"/>
        <v>319.8</v>
      </c>
      <c r="R21" s="426">
        <f t="shared" si="7"/>
        <v>31.980000000000004</v>
      </c>
      <c r="S21" s="426">
        <f t="shared" si="2"/>
        <v>287.82</v>
      </c>
      <c r="T21" s="356"/>
      <c r="U21" s="422">
        <f t="shared" si="8"/>
        <v>20</v>
      </c>
      <c r="V21" s="426">
        <f t="shared" si="3"/>
        <v>12.7</v>
      </c>
      <c r="W21" s="426">
        <f t="shared" si="4"/>
        <v>254</v>
      </c>
      <c r="X21" s="126">
        <f t="shared" si="5"/>
        <v>96.171599999999998</v>
      </c>
      <c r="Y21" s="427">
        <f t="shared" si="6"/>
        <v>157.82839999999999</v>
      </c>
      <c r="Z21" s="392"/>
      <c r="AA21" s="428"/>
      <c r="AB21" s="395"/>
      <c r="AC21" s="430"/>
      <c r="AD21" s="430"/>
      <c r="AE21" s="432"/>
      <c r="AF21" s="433"/>
      <c r="AG21" s="433"/>
    </row>
    <row r="22" spans="1:33" s="393" customFormat="1" ht="15.95" customHeight="1">
      <c r="A22" s="319">
        <f>'BANCO DADOS-CUSTO TOTAL'!A21</f>
        <v>1</v>
      </c>
      <c r="B22" s="319">
        <f>'BANCO DADOS-CUSTO TOTAL'!B21</f>
        <v>0</v>
      </c>
      <c r="C22" s="319" t="str">
        <f>'BANCO DADOS-CUSTO TOTAL'!C21</f>
        <v>Belo Horizonte</v>
      </c>
      <c r="D22" s="320">
        <f>'BANCO DADOS-CUSTO TOTAL'!F21</f>
        <v>8</v>
      </c>
      <c r="E22" s="100">
        <f>'BANCO DADOS-CUSTO TOTAL'!G21</f>
        <v>12348</v>
      </c>
      <c r="F22" s="100" t="str">
        <f>'BANCO DADOS-CUSTO TOTAL'!H21</f>
        <v>BELTRANO 12348</v>
      </c>
      <c r="G22" s="100" t="str">
        <f>'BANCO DADOS-CUSTO TOTAL'!I21</f>
        <v>VIGILANTE ARMADO - 12X36 DIURNO</v>
      </c>
      <c r="H22" s="100" t="str">
        <f>'BANCO DADOS-CUSTO TOTAL'!K21</f>
        <v>Belo HorizonteVIGILANTE ARMADO - 12X36 DIURNO</v>
      </c>
      <c r="I22" s="101" t="str">
        <f>'BANCO DADOS-CUSTO TOTAL'!J21</f>
        <v>Efetivo</v>
      </c>
      <c r="J22" s="399">
        <f>'BANCO DADOS-CUSTO TOTAL'!Q21</f>
        <v>1602.86</v>
      </c>
      <c r="K22" s="539">
        <f>'BANCO DADOS-CUSTO TOTAL'!Z21</f>
        <v>0</v>
      </c>
      <c r="L22" s="100">
        <f>'BANCO DADOS-CUSTO TOTAL'!AA21</f>
        <v>10</v>
      </c>
      <c r="M22" s="383">
        <f t="shared" si="0"/>
        <v>534.28666666666663</v>
      </c>
      <c r="N22" s="101"/>
      <c r="O22" s="422">
        <v>0</v>
      </c>
      <c r="P22" s="356">
        <f>VLOOKUP(H22,PARAMETROS!E:AX,12,0)</f>
        <v>15.99</v>
      </c>
      <c r="Q22" s="426">
        <f t="shared" si="1"/>
        <v>0</v>
      </c>
      <c r="R22" s="426">
        <f t="shared" si="7"/>
        <v>0</v>
      </c>
      <c r="S22" s="426">
        <f t="shared" si="2"/>
        <v>0</v>
      </c>
      <c r="T22" s="356"/>
      <c r="U22" s="422">
        <f t="shared" si="8"/>
        <v>0</v>
      </c>
      <c r="V22" s="426">
        <f t="shared" si="3"/>
        <v>12.7</v>
      </c>
      <c r="W22" s="426">
        <f t="shared" si="4"/>
        <v>0</v>
      </c>
      <c r="X22" s="126">
        <f t="shared" si="5"/>
        <v>0</v>
      </c>
      <c r="Y22" s="427">
        <f t="shared" si="6"/>
        <v>0</v>
      </c>
      <c r="Z22" s="392"/>
      <c r="AA22" s="428"/>
      <c r="AB22" s="395"/>
      <c r="AC22" s="430"/>
      <c r="AD22" s="430"/>
      <c r="AE22" s="432"/>
      <c r="AF22" s="433"/>
      <c r="AG22" s="433"/>
    </row>
    <row r="23" spans="1:33" s="393" customFormat="1" ht="15.95" customHeight="1">
      <c r="A23" s="319">
        <f>'BANCO DADOS-CUSTO TOTAL'!A22</f>
        <v>1</v>
      </c>
      <c r="B23" s="319">
        <f>'BANCO DADOS-CUSTO TOTAL'!B22</f>
        <v>1</v>
      </c>
      <c r="C23" s="319" t="str">
        <f>'BANCO DADOS-CUSTO TOTAL'!C22</f>
        <v>Belo Horizonte</v>
      </c>
      <c r="D23" s="320">
        <f>'BANCO DADOS-CUSTO TOTAL'!F22</f>
        <v>215</v>
      </c>
      <c r="E23" s="100">
        <f>'BANCO DADOS-CUSTO TOTAL'!G22</f>
        <v>124215</v>
      </c>
      <c r="F23" s="100" t="str">
        <f>'BANCO DADOS-CUSTO TOTAL'!H22</f>
        <v>BELTRANO 124215</v>
      </c>
      <c r="G23" s="100" t="str">
        <f>'BANCO DADOS-CUSTO TOTAL'!I22</f>
        <v>VIGILANTE ARMADO - 12X36 DIURNO</v>
      </c>
      <c r="H23" s="100" t="str">
        <f>'BANCO DADOS-CUSTO TOTAL'!K22</f>
        <v>Belo HorizonteVIGILANTE ARMADO - 12X36 DIURNO</v>
      </c>
      <c r="I23" s="101" t="str">
        <f>'BANCO DADOS-CUSTO TOTAL'!J22</f>
        <v>Efetivo</v>
      </c>
      <c r="J23" s="399">
        <f>'BANCO DADOS-CUSTO TOTAL'!Q22</f>
        <v>1602.86</v>
      </c>
      <c r="K23" s="539">
        <f>'BANCO DADOS-CUSTO TOTAL'!Z22</f>
        <v>0</v>
      </c>
      <c r="L23" s="100">
        <f>'BANCO DADOS-CUSTO TOTAL'!AA22</f>
        <v>20</v>
      </c>
      <c r="M23" s="383">
        <f t="shared" si="0"/>
        <v>1068.5733333333333</v>
      </c>
      <c r="N23" s="101"/>
      <c r="O23" s="422">
        <v>15.5</v>
      </c>
      <c r="P23" s="356">
        <f>VLOOKUP(H23,PARAMETROS!E:AX,12,0)</f>
        <v>15.99</v>
      </c>
      <c r="Q23" s="426">
        <f t="shared" si="1"/>
        <v>247.845</v>
      </c>
      <c r="R23" s="426">
        <f t="shared" si="7"/>
        <v>24.784500000000001</v>
      </c>
      <c r="S23" s="426">
        <f t="shared" si="2"/>
        <v>223.06049999999999</v>
      </c>
      <c r="T23" s="356"/>
      <c r="U23" s="422">
        <f t="shared" si="8"/>
        <v>15.5</v>
      </c>
      <c r="V23" s="426">
        <f t="shared" si="3"/>
        <v>12.7</v>
      </c>
      <c r="W23" s="426">
        <f t="shared" si="4"/>
        <v>196.85</v>
      </c>
      <c r="X23" s="126">
        <f t="shared" si="5"/>
        <v>64.114399999999989</v>
      </c>
      <c r="Y23" s="427">
        <f t="shared" si="6"/>
        <v>132.73560000000001</v>
      </c>
      <c r="Z23" s="392"/>
      <c r="AA23" s="428"/>
      <c r="AB23" s="395"/>
      <c r="AC23" s="430"/>
      <c r="AD23" s="430"/>
      <c r="AE23" s="432"/>
      <c r="AF23" s="433"/>
      <c r="AG23" s="433"/>
    </row>
    <row r="24" spans="1:33" s="393" customFormat="1" ht="15.95" customHeight="1">
      <c r="A24" s="319">
        <f>'BANCO DADOS-CUSTO TOTAL'!A23</f>
        <v>1</v>
      </c>
      <c r="B24" s="319">
        <f>'BANCO DADOS-CUSTO TOTAL'!B23</f>
        <v>1</v>
      </c>
      <c r="C24" s="319" t="str">
        <f>'BANCO DADOS-CUSTO TOTAL'!C23</f>
        <v>Belo Horizonte</v>
      </c>
      <c r="D24" s="320">
        <f>'BANCO DADOS-CUSTO TOTAL'!F23</f>
        <v>9</v>
      </c>
      <c r="E24" s="100">
        <f>'BANCO DADOS-CUSTO TOTAL'!G23</f>
        <v>12349</v>
      </c>
      <c r="F24" s="100" t="str">
        <f>'BANCO DADOS-CUSTO TOTAL'!H23</f>
        <v>BELTRANO 12349</v>
      </c>
      <c r="G24" s="100" t="str">
        <f>'BANCO DADOS-CUSTO TOTAL'!I23</f>
        <v>VIGILANTE ARMADO - 12X36 DIURNO</v>
      </c>
      <c r="H24" s="100" t="str">
        <f>'BANCO DADOS-CUSTO TOTAL'!K23</f>
        <v>Belo HorizonteVIGILANTE ARMADO - 12X36 DIURNO</v>
      </c>
      <c r="I24" s="101" t="str">
        <f>'BANCO DADOS-CUSTO TOTAL'!J23</f>
        <v>Efetivo</v>
      </c>
      <c r="J24" s="399">
        <f>'BANCO DADOS-CUSTO TOTAL'!Q23</f>
        <v>1602.86</v>
      </c>
      <c r="K24" s="539">
        <f>'BANCO DADOS-CUSTO TOTAL'!Z23</f>
        <v>0</v>
      </c>
      <c r="L24" s="100">
        <f>'BANCO DADOS-CUSTO TOTAL'!AA23</f>
        <v>30</v>
      </c>
      <c r="M24" s="383">
        <f t="shared" si="0"/>
        <v>1602.86</v>
      </c>
      <c r="N24" s="101"/>
      <c r="O24" s="422">
        <f t="shared" ref="O24:O94" si="9">IF(G24="VIGILANTE ARMADO - 220 H",20,15.5)</f>
        <v>15.5</v>
      </c>
      <c r="P24" s="356">
        <f>VLOOKUP(H24,PARAMETROS!E:AX,12,0)</f>
        <v>15.99</v>
      </c>
      <c r="Q24" s="426">
        <f t="shared" si="1"/>
        <v>247.845</v>
      </c>
      <c r="R24" s="426">
        <f t="shared" si="7"/>
        <v>24.784500000000001</v>
      </c>
      <c r="S24" s="426">
        <f t="shared" si="2"/>
        <v>223.06049999999999</v>
      </c>
      <c r="T24" s="356"/>
      <c r="U24" s="422">
        <f t="shared" si="8"/>
        <v>15.5</v>
      </c>
      <c r="V24" s="426">
        <f t="shared" si="3"/>
        <v>12.7</v>
      </c>
      <c r="W24" s="426">
        <f t="shared" si="4"/>
        <v>196.85</v>
      </c>
      <c r="X24" s="126">
        <f t="shared" si="5"/>
        <v>96.171599999999998</v>
      </c>
      <c r="Y24" s="427">
        <f t="shared" si="6"/>
        <v>100.6784</v>
      </c>
      <c r="Z24" s="392"/>
      <c r="AA24" s="428"/>
      <c r="AB24" s="395"/>
      <c r="AC24" s="430"/>
      <c r="AD24" s="430"/>
      <c r="AE24" s="432"/>
      <c r="AF24" s="433"/>
      <c r="AG24" s="433"/>
    </row>
    <row r="25" spans="1:33" s="393" customFormat="1" ht="15.95" customHeight="1">
      <c r="A25" s="319">
        <f>'BANCO DADOS-CUSTO TOTAL'!A24</f>
        <v>1</v>
      </c>
      <c r="B25" s="319">
        <f>'BANCO DADOS-CUSTO TOTAL'!B24</f>
        <v>1</v>
      </c>
      <c r="C25" s="319" t="str">
        <f>'BANCO DADOS-CUSTO TOTAL'!C24</f>
        <v>Belo Horizonte</v>
      </c>
      <c r="D25" s="320">
        <f>'BANCO DADOS-CUSTO TOTAL'!F24</f>
        <v>10</v>
      </c>
      <c r="E25" s="100">
        <f>'BANCO DADOS-CUSTO TOTAL'!G24</f>
        <v>12350</v>
      </c>
      <c r="F25" s="100" t="str">
        <f>'BANCO DADOS-CUSTO TOTAL'!H24</f>
        <v>BELTRANO 12350</v>
      </c>
      <c r="G25" s="100" t="str">
        <f>'BANCO DADOS-CUSTO TOTAL'!I24</f>
        <v>VIGILANTE ARMADO - 12X36 DIURNO</v>
      </c>
      <c r="H25" s="100" t="str">
        <f>'BANCO DADOS-CUSTO TOTAL'!K24</f>
        <v>Belo HorizonteVIGILANTE ARMADO - 12X36 DIURNO</v>
      </c>
      <c r="I25" s="101" t="str">
        <f>'BANCO DADOS-CUSTO TOTAL'!J24</f>
        <v>Efetivo</v>
      </c>
      <c r="J25" s="399">
        <f>'BANCO DADOS-CUSTO TOTAL'!Q24</f>
        <v>1602.86</v>
      </c>
      <c r="K25" s="539">
        <f>'BANCO DADOS-CUSTO TOTAL'!Z24</f>
        <v>0</v>
      </c>
      <c r="L25" s="100">
        <f>'BANCO DADOS-CUSTO TOTAL'!AA24</f>
        <v>30</v>
      </c>
      <c r="M25" s="383">
        <f t="shared" si="0"/>
        <v>1602.86</v>
      </c>
      <c r="N25" s="101"/>
      <c r="O25" s="422">
        <f t="shared" si="9"/>
        <v>15.5</v>
      </c>
      <c r="P25" s="356">
        <f>VLOOKUP(H25,PARAMETROS!E:AX,12,0)</f>
        <v>15.99</v>
      </c>
      <c r="Q25" s="426">
        <f t="shared" si="1"/>
        <v>247.845</v>
      </c>
      <c r="R25" s="426">
        <f t="shared" si="7"/>
        <v>24.784500000000001</v>
      </c>
      <c r="S25" s="426">
        <f t="shared" si="2"/>
        <v>223.06049999999999</v>
      </c>
      <c r="T25" s="356"/>
      <c r="U25" s="422">
        <f t="shared" si="8"/>
        <v>15.5</v>
      </c>
      <c r="V25" s="426">
        <f t="shared" si="3"/>
        <v>12.7</v>
      </c>
      <c r="W25" s="426">
        <f t="shared" si="4"/>
        <v>196.85</v>
      </c>
      <c r="X25" s="126">
        <f t="shared" si="5"/>
        <v>96.171599999999998</v>
      </c>
      <c r="Y25" s="427">
        <f t="shared" si="6"/>
        <v>100.6784</v>
      </c>
      <c r="Z25" s="392"/>
      <c r="AA25" s="428"/>
      <c r="AB25" s="395"/>
      <c r="AC25" s="430"/>
      <c r="AD25" s="430"/>
      <c r="AE25" s="432"/>
      <c r="AF25" s="433"/>
      <c r="AG25" s="433"/>
    </row>
    <row r="26" spans="1:33" s="393" customFormat="1" ht="15.95" customHeight="1">
      <c r="A26" s="319">
        <f>'BANCO DADOS-CUSTO TOTAL'!A25</f>
        <v>1</v>
      </c>
      <c r="B26" s="319">
        <f>'BANCO DADOS-CUSTO TOTAL'!B25</f>
        <v>1</v>
      </c>
      <c r="C26" s="319" t="str">
        <f>'BANCO DADOS-CUSTO TOTAL'!C25</f>
        <v>Belo Horizonte</v>
      </c>
      <c r="D26" s="320">
        <f>'BANCO DADOS-CUSTO TOTAL'!F25</f>
        <v>11</v>
      </c>
      <c r="E26" s="100">
        <f>'BANCO DADOS-CUSTO TOTAL'!G25</f>
        <v>12351</v>
      </c>
      <c r="F26" s="100" t="str">
        <f>'BANCO DADOS-CUSTO TOTAL'!H25</f>
        <v>BELTRANO 12351</v>
      </c>
      <c r="G26" s="100" t="str">
        <f>'BANCO DADOS-CUSTO TOTAL'!I25</f>
        <v>VIGILANTE ARMADO - 12X36 DIURNO</v>
      </c>
      <c r="H26" s="100" t="str">
        <f>'BANCO DADOS-CUSTO TOTAL'!K25</f>
        <v>Belo HorizonteVIGILANTE ARMADO - 12X36 DIURNO</v>
      </c>
      <c r="I26" s="101" t="str">
        <f>'BANCO DADOS-CUSTO TOTAL'!J25</f>
        <v>Efetivo</v>
      </c>
      <c r="J26" s="399">
        <f>'BANCO DADOS-CUSTO TOTAL'!Q25</f>
        <v>1602.86</v>
      </c>
      <c r="K26" s="539">
        <f>'BANCO DADOS-CUSTO TOTAL'!Z25</f>
        <v>0</v>
      </c>
      <c r="L26" s="100">
        <f>'BANCO DADOS-CUSTO TOTAL'!AA25</f>
        <v>30</v>
      </c>
      <c r="M26" s="383">
        <f t="shared" si="0"/>
        <v>1602.86</v>
      </c>
      <c r="N26" s="101"/>
      <c r="O26" s="422">
        <f t="shared" si="9"/>
        <v>15.5</v>
      </c>
      <c r="P26" s="356">
        <f>VLOOKUP(H26,PARAMETROS!E:AX,12,0)</f>
        <v>15.99</v>
      </c>
      <c r="Q26" s="426">
        <f t="shared" si="1"/>
        <v>247.845</v>
      </c>
      <c r="R26" s="426">
        <f t="shared" si="7"/>
        <v>24.784500000000001</v>
      </c>
      <c r="S26" s="426">
        <f t="shared" si="2"/>
        <v>223.06049999999999</v>
      </c>
      <c r="T26" s="356"/>
      <c r="U26" s="422">
        <f t="shared" si="8"/>
        <v>15.5</v>
      </c>
      <c r="V26" s="426">
        <f t="shared" si="3"/>
        <v>12.7</v>
      </c>
      <c r="W26" s="426">
        <f t="shared" si="4"/>
        <v>196.85</v>
      </c>
      <c r="X26" s="126">
        <f t="shared" si="5"/>
        <v>96.171599999999998</v>
      </c>
      <c r="Y26" s="427">
        <f t="shared" si="6"/>
        <v>100.6784</v>
      </c>
      <c r="Z26" s="392"/>
      <c r="AA26" s="428"/>
      <c r="AB26" s="395"/>
      <c r="AC26" s="430"/>
      <c r="AD26" s="430"/>
      <c r="AE26" s="432"/>
      <c r="AF26" s="433"/>
      <c r="AG26" s="433"/>
    </row>
    <row r="27" spans="1:33" s="393" customFormat="1" ht="15.95" customHeight="1">
      <c r="A27" s="319">
        <f>'BANCO DADOS-CUSTO TOTAL'!A26</f>
        <v>1</v>
      </c>
      <c r="B27" s="319">
        <f>'BANCO DADOS-CUSTO TOTAL'!B26</f>
        <v>1</v>
      </c>
      <c r="C27" s="319" t="str">
        <f>'BANCO DADOS-CUSTO TOTAL'!C26</f>
        <v>Belo Horizonte</v>
      </c>
      <c r="D27" s="320">
        <f>'BANCO DADOS-CUSTO TOTAL'!F26</f>
        <v>12</v>
      </c>
      <c r="E27" s="100">
        <f>'BANCO DADOS-CUSTO TOTAL'!G26</f>
        <v>12352</v>
      </c>
      <c r="F27" s="100" t="str">
        <f>'BANCO DADOS-CUSTO TOTAL'!H26</f>
        <v>BELTRANO 12352</v>
      </c>
      <c r="G27" s="100" t="str">
        <f>'BANCO DADOS-CUSTO TOTAL'!I26</f>
        <v>VIGILANTE ARMADO - 12X36 DIURNO</v>
      </c>
      <c r="H27" s="100" t="str">
        <f>'BANCO DADOS-CUSTO TOTAL'!K26</f>
        <v>Belo HorizonteVIGILANTE ARMADO - 12X36 DIURNO</v>
      </c>
      <c r="I27" s="101" t="str">
        <f>'BANCO DADOS-CUSTO TOTAL'!J26</f>
        <v>Efetivo</v>
      </c>
      <c r="J27" s="399">
        <f>'BANCO DADOS-CUSTO TOTAL'!Q26</f>
        <v>1602.86</v>
      </c>
      <c r="K27" s="539">
        <f>'BANCO DADOS-CUSTO TOTAL'!Z26</f>
        <v>0</v>
      </c>
      <c r="L27" s="100">
        <f>'BANCO DADOS-CUSTO TOTAL'!AA26</f>
        <v>10</v>
      </c>
      <c r="M27" s="383">
        <f t="shared" si="0"/>
        <v>534.28666666666663</v>
      </c>
      <c r="N27" s="101"/>
      <c r="O27" s="422">
        <f t="shared" si="9"/>
        <v>15.5</v>
      </c>
      <c r="P27" s="356">
        <f>VLOOKUP(H27,PARAMETROS!E:AX,12,0)</f>
        <v>15.99</v>
      </c>
      <c r="Q27" s="426">
        <f t="shared" si="1"/>
        <v>247.845</v>
      </c>
      <c r="R27" s="426">
        <f t="shared" si="7"/>
        <v>24.784500000000001</v>
      </c>
      <c r="S27" s="426">
        <f t="shared" si="2"/>
        <v>223.06049999999999</v>
      </c>
      <c r="T27" s="356"/>
      <c r="U27" s="422">
        <f t="shared" si="8"/>
        <v>15.5</v>
      </c>
      <c r="V27" s="426">
        <f t="shared" si="3"/>
        <v>12.7</v>
      </c>
      <c r="W27" s="426">
        <f t="shared" si="4"/>
        <v>196.85</v>
      </c>
      <c r="X27" s="126">
        <f t="shared" si="5"/>
        <v>32.057199999999995</v>
      </c>
      <c r="Y27" s="427">
        <f t="shared" si="6"/>
        <v>164.7928</v>
      </c>
      <c r="Z27" s="392"/>
      <c r="AA27" s="428"/>
      <c r="AB27" s="395"/>
      <c r="AC27" s="430"/>
      <c r="AD27" s="430"/>
      <c r="AE27" s="432"/>
      <c r="AF27" s="433"/>
      <c r="AG27" s="433"/>
    </row>
    <row r="28" spans="1:33" s="393" customFormat="1" ht="15.95" customHeight="1">
      <c r="A28" s="319">
        <f>'BANCO DADOS-CUSTO TOTAL'!A27</f>
        <v>1</v>
      </c>
      <c r="B28" s="319">
        <f>'BANCO DADOS-CUSTO TOTAL'!B27</f>
        <v>0</v>
      </c>
      <c r="C28" s="319" t="str">
        <f>'BANCO DADOS-CUSTO TOTAL'!C27</f>
        <v>Belo Horizonte</v>
      </c>
      <c r="D28" s="320">
        <f>'BANCO DADOS-CUSTO TOTAL'!F27</f>
        <v>280</v>
      </c>
      <c r="E28" s="100">
        <f>'BANCO DADOS-CUSTO TOTAL'!G27</f>
        <v>124280</v>
      </c>
      <c r="F28" s="100" t="str">
        <f>'BANCO DADOS-CUSTO TOTAL'!H27</f>
        <v>BELTRANO 124280</v>
      </c>
      <c r="G28" s="100" t="str">
        <f>'BANCO DADOS-CUSTO TOTAL'!I27</f>
        <v>VIGILANTE ARMADO - 12X36 DIURNO</v>
      </c>
      <c r="H28" s="100" t="str">
        <f>'BANCO DADOS-CUSTO TOTAL'!K27</f>
        <v>Belo HorizonteVIGILANTE ARMADO - 12X36 DIURNO</v>
      </c>
      <c r="I28" s="101" t="str">
        <f>'BANCO DADOS-CUSTO TOTAL'!J27</f>
        <v>Substituto</v>
      </c>
      <c r="J28" s="399">
        <f>'BANCO DADOS-CUSTO TOTAL'!Q27</f>
        <v>1602.86</v>
      </c>
      <c r="K28" s="539">
        <f>'BANCO DADOS-CUSTO TOTAL'!Z27</f>
        <v>0</v>
      </c>
      <c r="L28" s="100">
        <f>'BANCO DADOS-CUSTO TOTAL'!AA27</f>
        <v>20</v>
      </c>
      <c r="M28" s="383">
        <f t="shared" si="0"/>
        <v>1068.5733333333333</v>
      </c>
      <c r="N28" s="101"/>
      <c r="O28" s="422">
        <v>0</v>
      </c>
      <c r="P28" s="356">
        <f>VLOOKUP(H28,PARAMETROS!E:AX,12,0)</f>
        <v>15.99</v>
      </c>
      <c r="Q28" s="426">
        <f t="shared" si="1"/>
        <v>0</v>
      </c>
      <c r="R28" s="426">
        <f t="shared" si="7"/>
        <v>0</v>
      </c>
      <c r="S28" s="426">
        <f t="shared" si="2"/>
        <v>0</v>
      </c>
      <c r="T28" s="356"/>
      <c r="U28" s="422">
        <f t="shared" si="8"/>
        <v>0</v>
      </c>
      <c r="V28" s="426">
        <f t="shared" si="3"/>
        <v>12.7</v>
      </c>
      <c r="W28" s="426">
        <f t="shared" si="4"/>
        <v>0</v>
      </c>
      <c r="X28" s="126">
        <f t="shared" si="5"/>
        <v>0</v>
      </c>
      <c r="Y28" s="427">
        <f t="shared" si="6"/>
        <v>0</v>
      </c>
      <c r="Z28" s="392"/>
      <c r="AA28" s="428"/>
      <c r="AB28" s="395"/>
      <c r="AC28" s="430"/>
      <c r="AD28" s="430"/>
      <c r="AE28" s="432"/>
      <c r="AF28" s="433"/>
      <c r="AG28" s="433"/>
    </row>
    <row r="29" spans="1:33" s="393" customFormat="1" ht="15.95" customHeight="1">
      <c r="A29" s="319">
        <f>'BANCO DADOS-CUSTO TOTAL'!A28</f>
        <v>1</v>
      </c>
      <c r="B29" s="319">
        <f>'BANCO DADOS-CUSTO TOTAL'!B28</f>
        <v>1</v>
      </c>
      <c r="C29" s="319" t="str">
        <f>'BANCO DADOS-CUSTO TOTAL'!C28</f>
        <v>Belo Horizonte</v>
      </c>
      <c r="D29" s="320">
        <f>'BANCO DADOS-CUSTO TOTAL'!F28</f>
        <v>13</v>
      </c>
      <c r="E29" s="100">
        <f>'BANCO DADOS-CUSTO TOTAL'!G28</f>
        <v>12353</v>
      </c>
      <c r="F29" s="100" t="str">
        <f>'BANCO DADOS-CUSTO TOTAL'!H28</f>
        <v>BELTRANO 12353</v>
      </c>
      <c r="G29" s="100" t="str">
        <f>'BANCO DADOS-CUSTO TOTAL'!I28</f>
        <v>VIGILANTE ARMADO - 12X36 DIURNO</v>
      </c>
      <c r="H29" s="100" t="str">
        <f>'BANCO DADOS-CUSTO TOTAL'!K28</f>
        <v>Belo HorizonteVIGILANTE ARMADO - 12X36 DIURNO</v>
      </c>
      <c r="I29" s="101" t="str">
        <f>'BANCO DADOS-CUSTO TOTAL'!J28</f>
        <v>Efetivo</v>
      </c>
      <c r="J29" s="399">
        <f>'BANCO DADOS-CUSTO TOTAL'!Q28</f>
        <v>1602.86</v>
      </c>
      <c r="K29" s="539">
        <f>'BANCO DADOS-CUSTO TOTAL'!Z28</f>
        <v>0</v>
      </c>
      <c r="L29" s="100">
        <f>'BANCO DADOS-CUSTO TOTAL'!AA28</f>
        <v>30</v>
      </c>
      <c r="M29" s="383">
        <f t="shared" si="0"/>
        <v>1602.86</v>
      </c>
      <c r="N29" s="101"/>
      <c r="O29" s="422">
        <f t="shared" si="9"/>
        <v>15.5</v>
      </c>
      <c r="P29" s="356">
        <f>VLOOKUP(H29,PARAMETROS!E:AX,12,0)</f>
        <v>15.99</v>
      </c>
      <c r="Q29" s="426">
        <f t="shared" si="1"/>
        <v>247.845</v>
      </c>
      <c r="R29" s="426">
        <f t="shared" si="7"/>
        <v>24.784500000000001</v>
      </c>
      <c r="S29" s="426">
        <f t="shared" si="2"/>
        <v>223.06049999999999</v>
      </c>
      <c r="T29" s="356"/>
      <c r="U29" s="422">
        <f t="shared" si="8"/>
        <v>15.5</v>
      </c>
      <c r="V29" s="426">
        <f t="shared" si="3"/>
        <v>12.7</v>
      </c>
      <c r="W29" s="426">
        <f t="shared" si="4"/>
        <v>196.85</v>
      </c>
      <c r="X29" s="126">
        <f t="shared" si="5"/>
        <v>96.171599999999998</v>
      </c>
      <c r="Y29" s="427">
        <f t="shared" si="6"/>
        <v>100.6784</v>
      </c>
      <c r="Z29" s="392"/>
      <c r="AA29" s="428"/>
      <c r="AB29" s="395"/>
      <c r="AC29" s="430"/>
      <c r="AD29" s="430"/>
      <c r="AE29" s="432"/>
      <c r="AF29" s="433"/>
      <c r="AG29" s="433"/>
    </row>
    <row r="30" spans="1:33" s="393" customFormat="1" ht="15.95" customHeight="1">
      <c r="A30" s="319">
        <f>'BANCO DADOS-CUSTO TOTAL'!A29</f>
        <v>1</v>
      </c>
      <c r="B30" s="319">
        <f>'BANCO DADOS-CUSTO TOTAL'!B29</f>
        <v>1</v>
      </c>
      <c r="C30" s="319" t="str">
        <f>'BANCO DADOS-CUSTO TOTAL'!C29</f>
        <v>Belo Horizonte</v>
      </c>
      <c r="D30" s="320">
        <f>'BANCO DADOS-CUSTO TOTAL'!F29</f>
        <v>14</v>
      </c>
      <c r="E30" s="100">
        <f>'BANCO DADOS-CUSTO TOTAL'!G29</f>
        <v>12354</v>
      </c>
      <c r="F30" s="100" t="str">
        <f>'BANCO DADOS-CUSTO TOTAL'!H29</f>
        <v>BELTRANO 12354</v>
      </c>
      <c r="G30" s="100" t="str">
        <f>'BANCO DADOS-CUSTO TOTAL'!I29</f>
        <v>VIGILANTE ARMADO - 12X36 DIURNO</v>
      </c>
      <c r="H30" s="100" t="str">
        <f>'BANCO DADOS-CUSTO TOTAL'!K29</f>
        <v>Belo HorizonteVIGILANTE ARMADO - 12X36 DIURNO</v>
      </c>
      <c r="I30" s="101" t="str">
        <f>'BANCO DADOS-CUSTO TOTAL'!J29</f>
        <v>Efetivo</v>
      </c>
      <c r="J30" s="399">
        <f>'BANCO DADOS-CUSTO TOTAL'!Q29</f>
        <v>1602.86</v>
      </c>
      <c r="K30" s="539">
        <f>'BANCO DADOS-CUSTO TOTAL'!Z29</f>
        <v>0</v>
      </c>
      <c r="L30" s="100">
        <f>'BANCO DADOS-CUSTO TOTAL'!AA29</f>
        <v>30</v>
      </c>
      <c r="M30" s="383">
        <f t="shared" si="0"/>
        <v>1602.86</v>
      </c>
      <c r="N30" s="101"/>
      <c r="O30" s="422">
        <f t="shared" si="9"/>
        <v>15.5</v>
      </c>
      <c r="P30" s="356">
        <f>VLOOKUP(H30,PARAMETROS!E:AX,12,0)</f>
        <v>15.99</v>
      </c>
      <c r="Q30" s="426">
        <f t="shared" si="1"/>
        <v>247.845</v>
      </c>
      <c r="R30" s="426">
        <f t="shared" si="7"/>
        <v>24.784500000000001</v>
      </c>
      <c r="S30" s="426">
        <f t="shared" si="2"/>
        <v>223.06049999999999</v>
      </c>
      <c r="T30" s="356"/>
      <c r="U30" s="422">
        <f t="shared" si="8"/>
        <v>15.5</v>
      </c>
      <c r="V30" s="426">
        <f t="shared" si="3"/>
        <v>12.7</v>
      </c>
      <c r="W30" s="426">
        <f t="shared" si="4"/>
        <v>196.85</v>
      </c>
      <c r="X30" s="126">
        <f t="shared" si="5"/>
        <v>96.171599999999998</v>
      </c>
      <c r="Y30" s="427">
        <f t="shared" si="6"/>
        <v>100.6784</v>
      </c>
      <c r="Z30" s="392"/>
      <c r="AA30" s="428"/>
      <c r="AB30" s="395"/>
      <c r="AC30" s="430"/>
      <c r="AD30" s="430"/>
      <c r="AE30" s="432"/>
      <c r="AF30" s="433"/>
      <c r="AG30" s="433"/>
    </row>
    <row r="31" spans="1:33" s="393" customFormat="1" ht="15.95" customHeight="1">
      <c r="A31" s="319">
        <f>'BANCO DADOS-CUSTO TOTAL'!A30</f>
        <v>1</v>
      </c>
      <c r="B31" s="319">
        <f>'BANCO DADOS-CUSTO TOTAL'!B30</f>
        <v>1</v>
      </c>
      <c r="C31" s="319" t="str">
        <f>'BANCO DADOS-CUSTO TOTAL'!C30</f>
        <v>Belo Horizonte</v>
      </c>
      <c r="D31" s="320">
        <f>'BANCO DADOS-CUSTO TOTAL'!F30</f>
        <v>15</v>
      </c>
      <c r="E31" s="100">
        <f>'BANCO DADOS-CUSTO TOTAL'!G30</f>
        <v>12355</v>
      </c>
      <c r="F31" s="100" t="str">
        <f>'BANCO DADOS-CUSTO TOTAL'!H30</f>
        <v>BELTRANO 12355</v>
      </c>
      <c r="G31" s="100" t="str">
        <f>'BANCO DADOS-CUSTO TOTAL'!I30</f>
        <v>VIGILANTE ARMADO - 12X36 DIURNO</v>
      </c>
      <c r="H31" s="100" t="str">
        <f>'BANCO DADOS-CUSTO TOTAL'!K30</f>
        <v>Belo HorizonteVIGILANTE ARMADO - 12X36 DIURNO</v>
      </c>
      <c r="I31" s="101" t="str">
        <f>'BANCO DADOS-CUSTO TOTAL'!J30</f>
        <v>Efetivo</v>
      </c>
      <c r="J31" s="399">
        <f>'BANCO DADOS-CUSTO TOTAL'!Q30</f>
        <v>1602.86</v>
      </c>
      <c r="K31" s="539">
        <f>'BANCO DADOS-CUSTO TOTAL'!Z30</f>
        <v>0</v>
      </c>
      <c r="L31" s="100">
        <f>'BANCO DADOS-CUSTO TOTAL'!AA30</f>
        <v>30</v>
      </c>
      <c r="M31" s="383">
        <f t="shared" si="0"/>
        <v>1602.86</v>
      </c>
      <c r="N31" s="101"/>
      <c r="O31" s="422">
        <f t="shared" si="9"/>
        <v>15.5</v>
      </c>
      <c r="P31" s="356">
        <f>VLOOKUP(H31,PARAMETROS!E:AX,12,0)</f>
        <v>15.99</v>
      </c>
      <c r="Q31" s="426">
        <f t="shared" si="1"/>
        <v>247.845</v>
      </c>
      <c r="R31" s="426">
        <f t="shared" si="7"/>
        <v>24.784500000000001</v>
      </c>
      <c r="S31" s="426">
        <f t="shared" si="2"/>
        <v>223.06049999999999</v>
      </c>
      <c r="T31" s="356"/>
      <c r="U31" s="422">
        <f t="shared" si="8"/>
        <v>15.5</v>
      </c>
      <c r="V31" s="426">
        <f t="shared" si="3"/>
        <v>12.7</v>
      </c>
      <c r="W31" s="426">
        <f t="shared" si="4"/>
        <v>196.85</v>
      </c>
      <c r="X31" s="126">
        <f t="shared" si="5"/>
        <v>96.171599999999998</v>
      </c>
      <c r="Y31" s="427">
        <f t="shared" si="6"/>
        <v>100.6784</v>
      </c>
      <c r="Z31" s="392"/>
      <c r="AA31" s="428"/>
      <c r="AB31" s="395"/>
      <c r="AC31" s="430"/>
      <c r="AD31" s="430"/>
      <c r="AE31" s="432"/>
      <c r="AF31" s="433"/>
      <c r="AG31" s="433"/>
    </row>
    <row r="32" spans="1:33" s="393" customFormat="1" ht="15.95" customHeight="1">
      <c r="A32" s="319">
        <f>'BANCO DADOS-CUSTO TOTAL'!A31</f>
        <v>1</v>
      </c>
      <c r="B32" s="319">
        <f>'BANCO DADOS-CUSTO TOTAL'!B31</f>
        <v>1</v>
      </c>
      <c r="C32" s="319" t="str">
        <f>'BANCO DADOS-CUSTO TOTAL'!C31</f>
        <v>Belo Horizonte</v>
      </c>
      <c r="D32" s="320">
        <f>'BANCO DADOS-CUSTO TOTAL'!F31</f>
        <v>16</v>
      </c>
      <c r="E32" s="100">
        <f>'BANCO DADOS-CUSTO TOTAL'!G31</f>
        <v>12356</v>
      </c>
      <c r="F32" s="100" t="str">
        <f>'BANCO DADOS-CUSTO TOTAL'!H31</f>
        <v>BELTRANO 12356</v>
      </c>
      <c r="G32" s="100" t="str">
        <f>'BANCO DADOS-CUSTO TOTAL'!I31</f>
        <v>VIGILANTE ARMADO - 12X36 DIURNO</v>
      </c>
      <c r="H32" s="100" t="str">
        <f>'BANCO DADOS-CUSTO TOTAL'!K31</f>
        <v>Belo HorizonteVIGILANTE ARMADO - 12X36 DIURNO</v>
      </c>
      <c r="I32" s="101" t="str">
        <f>'BANCO DADOS-CUSTO TOTAL'!J31</f>
        <v>Efetivo</v>
      </c>
      <c r="J32" s="399">
        <f>'BANCO DADOS-CUSTO TOTAL'!Q31</f>
        <v>1602.86</v>
      </c>
      <c r="K32" s="539">
        <f>'BANCO DADOS-CUSTO TOTAL'!Z31</f>
        <v>0</v>
      </c>
      <c r="L32" s="100">
        <f>'BANCO DADOS-CUSTO TOTAL'!AA31</f>
        <v>30</v>
      </c>
      <c r="M32" s="383">
        <f t="shared" si="0"/>
        <v>1602.86</v>
      </c>
      <c r="N32" s="101"/>
      <c r="O32" s="422">
        <f t="shared" si="9"/>
        <v>15.5</v>
      </c>
      <c r="P32" s="356">
        <f>VLOOKUP(H32,PARAMETROS!E:AX,12,0)</f>
        <v>15.99</v>
      </c>
      <c r="Q32" s="426">
        <f t="shared" si="1"/>
        <v>247.845</v>
      </c>
      <c r="R32" s="426">
        <f t="shared" si="7"/>
        <v>24.784500000000001</v>
      </c>
      <c r="S32" s="426">
        <f t="shared" si="2"/>
        <v>223.06049999999999</v>
      </c>
      <c r="T32" s="356"/>
      <c r="U32" s="422">
        <f t="shared" si="8"/>
        <v>15.5</v>
      </c>
      <c r="V32" s="426">
        <f t="shared" si="3"/>
        <v>12.7</v>
      </c>
      <c r="W32" s="426">
        <f t="shared" si="4"/>
        <v>196.85</v>
      </c>
      <c r="X32" s="126">
        <f t="shared" si="5"/>
        <v>96.171599999999998</v>
      </c>
      <c r="Y32" s="427">
        <f t="shared" si="6"/>
        <v>100.6784</v>
      </c>
      <c r="Z32" s="392"/>
      <c r="AA32" s="428"/>
      <c r="AB32" s="395"/>
      <c r="AC32" s="430"/>
      <c r="AD32" s="430"/>
      <c r="AE32" s="432"/>
      <c r="AF32" s="433"/>
      <c r="AG32" s="433"/>
    </row>
    <row r="33" spans="1:33" s="393" customFormat="1" ht="15.95" customHeight="1">
      <c r="A33" s="319">
        <f>'BANCO DADOS-CUSTO TOTAL'!A32</f>
        <v>1</v>
      </c>
      <c r="B33" s="319">
        <f>'BANCO DADOS-CUSTO TOTAL'!B32</f>
        <v>1</v>
      </c>
      <c r="C33" s="319" t="str">
        <f>'BANCO DADOS-CUSTO TOTAL'!C32</f>
        <v>Belo Horizonte</v>
      </c>
      <c r="D33" s="320">
        <f>'BANCO DADOS-CUSTO TOTAL'!F32</f>
        <v>17</v>
      </c>
      <c r="E33" s="100">
        <f>'BANCO DADOS-CUSTO TOTAL'!G32</f>
        <v>12357</v>
      </c>
      <c r="F33" s="100" t="str">
        <f>'BANCO DADOS-CUSTO TOTAL'!H32</f>
        <v>BELTRANO 12357</v>
      </c>
      <c r="G33" s="100" t="str">
        <f>'BANCO DADOS-CUSTO TOTAL'!I32</f>
        <v>VIGILANTE ARMADO - 12X36 DIURNO</v>
      </c>
      <c r="H33" s="100" t="str">
        <f>'BANCO DADOS-CUSTO TOTAL'!K32</f>
        <v>Belo HorizonteVIGILANTE ARMADO - 12X36 DIURNO</v>
      </c>
      <c r="I33" s="101" t="str">
        <f>'BANCO DADOS-CUSTO TOTAL'!J32</f>
        <v>Efetivo</v>
      </c>
      <c r="J33" s="399">
        <f>'BANCO DADOS-CUSTO TOTAL'!Q32</f>
        <v>1602.86</v>
      </c>
      <c r="K33" s="539">
        <f>'BANCO DADOS-CUSTO TOTAL'!Z32</f>
        <v>0</v>
      </c>
      <c r="L33" s="100">
        <f>'BANCO DADOS-CUSTO TOTAL'!AA32</f>
        <v>30</v>
      </c>
      <c r="M33" s="383">
        <f t="shared" si="0"/>
        <v>1602.86</v>
      </c>
      <c r="N33" s="101"/>
      <c r="O33" s="422">
        <f t="shared" si="9"/>
        <v>15.5</v>
      </c>
      <c r="P33" s="356">
        <f>VLOOKUP(H33,PARAMETROS!E:AX,12,0)</f>
        <v>15.99</v>
      </c>
      <c r="Q33" s="426">
        <f t="shared" si="1"/>
        <v>247.845</v>
      </c>
      <c r="R33" s="426">
        <f t="shared" si="7"/>
        <v>24.784500000000001</v>
      </c>
      <c r="S33" s="426">
        <f t="shared" si="2"/>
        <v>223.06049999999999</v>
      </c>
      <c r="T33" s="356"/>
      <c r="U33" s="422">
        <f t="shared" si="8"/>
        <v>15.5</v>
      </c>
      <c r="V33" s="426">
        <f t="shared" si="3"/>
        <v>12.7</v>
      </c>
      <c r="W33" s="426">
        <f t="shared" si="4"/>
        <v>196.85</v>
      </c>
      <c r="X33" s="126">
        <f t="shared" si="5"/>
        <v>96.171599999999998</v>
      </c>
      <c r="Y33" s="427">
        <f t="shared" si="6"/>
        <v>100.6784</v>
      </c>
      <c r="Z33" s="392"/>
      <c r="AA33" s="428"/>
      <c r="AB33" s="395"/>
      <c r="AC33" s="430"/>
      <c r="AD33" s="430"/>
      <c r="AE33" s="432"/>
      <c r="AF33" s="433"/>
      <c r="AG33" s="433"/>
    </row>
    <row r="34" spans="1:33" s="393" customFormat="1" ht="15.95" customHeight="1">
      <c r="A34" s="319">
        <f>'BANCO DADOS-CUSTO TOTAL'!A33</f>
        <v>1</v>
      </c>
      <c r="B34" s="319">
        <f>'BANCO DADOS-CUSTO TOTAL'!B33</f>
        <v>1</v>
      </c>
      <c r="C34" s="319" t="str">
        <f>'BANCO DADOS-CUSTO TOTAL'!C33</f>
        <v>Belo Horizonte</v>
      </c>
      <c r="D34" s="320">
        <f>'BANCO DADOS-CUSTO TOTAL'!F33</f>
        <v>18</v>
      </c>
      <c r="E34" s="100">
        <f>'BANCO DADOS-CUSTO TOTAL'!G33</f>
        <v>12358</v>
      </c>
      <c r="F34" s="100" t="str">
        <f>'BANCO DADOS-CUSTO TOTAL'!H33</f>
        <v>BELTRANO 12358</v>
      </c>
      <c r="G34" s="100" t="str">
        <f>'BANCO DADOS-CUSTO TOTAL'!I33</f>
        <v>VIGILANTE ARMADO - 12X36 DIURNO</v>
      </c>
      <c r="H34" s="100" t="str">
        <f>'BANCO DADOS-CUSTO TOTAL'!K33</f>
        <v>Belo HorizonteVIGILANTE ARMADO - 12X36 DIURNO</v>
      </c>
      <c r="I34" s="101" t="str">
        <f>'BANCO DADOS-CUSTO TOTAL'!J33</f>
        <v>Efetivo</v>
      </c>
      <c r="J34" s="399">
        <f>'BANCO DADOS-CUSTO TOTAL'!Q33</f>
        <v>1602.86</v>
      </c>
      <c r="K34" s="539">
        <f>'BANCO DADOS-CUSTO TOTAL'!Z33</f>
        <v>0</v>
      </c>
      <c r="L34" s="100">
        <f>'BANCO DADOS-CUSTO TOTAL'!AA33</f>
        <v>30</v>
      </c>
      <c r="M34" s="383">
        <f t="shared" si="0"/>
        <v>1602.86</v>
      </c>
      <c r="N34" s="101"/>
      <c r="O34" s="422">
        <f t="shared" si="9"/>
        <v>15.5</v>
      </c>
      <c r="P34" s="356">
        <f>VLOOKUP(H34,PARAMETROS!E:AX,12,0)</f>
        <v>15.99</v>
      </c>
      <c r="Q34" s="426">
        <f t="shared" si="1"/>
        <v>247.845</v>
      </c>
      <c r="R34" s="426">
        <f t="shared" si="7"/>
        <v>24.784500000000001</v>
      </c>
      <c r="S34" s="426">
        <f t="shared" si="2"/>
        <v>223.06049999999999</v>
      </c>
      <c r="T34" s="356"/>
      <c r="U34" s="422">
        <f t="shared" si="8"/>
        <v>15.5</v>
      </c>
      <c r="V34" s="426">
        <f t="shared" si="3"/>
        <v>12.7</v>
      </c>
      <c r="W34" s="426">
        <f t="shared" si="4"/>
        <v>196.85</v>
      </c>
      <c r="X34" s="126">
        <f t="shared" si="5"/>
        <v>96.171599999999998</v>
      </c>
      <c r="Y34" s="427">
        <f t="shared" si="6"/>
        <v>100.6784</v>
      </c>
      <c r="Z34" s="392"/>
      <c r="AA34" s="428"/>
      <c r="AB34" s="395"/>
      <c r="AC34" s="430"/>
      <c r="AD34" s="430"/>
      <c r="AE34" s="432"/>
      <c r="AF34" s="433"/>
      <c r="AG34" s="433"/>
    </row>
    <row r="35" spans="1:33" s="393" customFormat="1" ht="15.95" customHeight="1">
      <c r="A35" s="319">
        <f>'BANCO DADOS-CUSTO TOTAL'!A34</f>
        <v>1</v>
      </c>
      <c r="B35" s="319">
        <f>'BANCO DADOS-CUSTO TOTAL'!B34</f>
        <v>1</v>
      </c>
      <c r="C35" s="319" t="str">
        <f>'BANCO DADOS-CUSTO TOTAL'!C34</f>
        <v>Belo Horizonte</v>
      </c>
      <c r="D35" s="320">
        <f>'BANCO DADOS-CUSTO TOTAL'!F34</f>
        <v>19</v>
      </c>
      <c r="E35" s="100">
        <f>'BANCO DADOS-CUSTO TOTAL'!G34</f>
        <v>12359</v>
      </c>
      <c r="F35" s="100" t="str">
        <f>'BANCO DADOS-CUSTO TOTAL'!H34</f>
        <v>BELTRANO 12359</v>
      </c>
      <c r="G35" s="100" t="str">
        <f>'BANCO DADOS-CUSTO TOTAL'!I34</f>
        <v>VIGILANTE ARMADO - 12X36 DIURNO</v>
      </c>
      <c r="H35" s="100" t="str">
        <f>'BANCO DADOS-CUSTO TOTAL'!K34</f>
        <v>Belo HorizonteVIGILANTE ARMADO - 12X36 DIURNO</v>
      </c>
      <c r="I35" s="101" t="str">
        <f>'BANCO DADOS-CUSTO TOTAL'!J34</f>
        <v>Efetivo</v>
      </c>
      <c r="J35" s="399">
        <f>'BANCO DADOS-CUSTO TOTAL'!Q34</f>
        <v>1602.86</v>
      </c>
      <c r="K35" s="539">
        <f>'BANCO DADOS-CUSTO TOTAL'!Z34</f>
        <v>0</v>
      </c>
      <c r="L35" s="100">
        <f>'BANCO DADOS-CUSTO TOTAL'!AA34</f>
        <v>30</v>
      </c>
      <c r="M35" s="383">
        <f t="shared" si="0"/>
        <v>1602.86</v>
      </c>
      <c r="N35" s="101"/>
      <c r="O35" s="422">
        <f t="shared" si="9"/>
        <v>15.5</v>
      </c>
      <c r="P35" s="356">
        <f>VLOOKUP(H35,PARAMETROS!E:AX,12,0)</f>
        <v>15.99</v>
      </c>
      <c r="Q35" s="426">
        <f t="shared" si="1"/>
        <v>247.845</v>
      </c>
      <c r="R35" s="426">
        <f t="shared" si="7"/>
        <v>24.784500000000001</v>
      </c>
      <c r="S35" s="426">
        <f t="shared" si="2"/>
        <v>223.06049999999999</v>
      </c>
      <c r="T35" s="356"/>
      <c r="U35" s="422">
        <f t="shared" si="8"/>
        <v>15.5</v>
      </c>
      <c r="V35" s="426">
        <f t="shared" si="3"/>
        <v>12.7</v>
      </c>
      <c r="W35" s="426">
        <f t="shared" si="4"/>
        <v>196.85</v>
      </c>
      <c r="X35" s="126">
        <f t="shared" si="5"/>
        <v>96.171599999999998</v>
      </c>
      <c r="Y35" s="427">
        <f t="shared" si="6"/>
        <v>100.6784</v>
      </c>
      <c r="Z35" s="392"/>
      <c r="AA35" s="428"/>
      <c r="AB35" s="395"/>
      <c r="AC35" s="430"/>
      <c r="AD35" s="430"/>
      <c r="AE35" s="432"/>
      <c r="AF35" s="433"/>
      <c r="AG35" s="433"/>
    </row>
    <row r="36" spans="1:33" s="393" customFormat="1" ht="15.95" customHeight="1">
      <c r="A36" s="319">
        <f>'BANCO DADOS-CUSTO TOTAL'!A35</f>
        <v>1</v>
      </c>
      <c r="B36" s="319">
        <f>'BANCO DADOS-CUSTO TOTAL'!B35</f>
        <v>1</v>
      </c>
      <c r="C36" s="319" t="str">
        <f>'BANCO DADOS-CUSTO TOTAL'!C35</f>
        <v>Belo Horizonte</v>
      </c>
      <c r="D36" s="320">
        <f>'BANCO DADOS-CUSTO TOTAL'!F35</f>
        <v>20</v>
      </c>
      <c r="E36" s="100">
        <f>'BANCO DADOS-CUSTO TOTAL'!G35</f>
        <v>12360</v>
      </c>
      <c r="F36" s="100" t="str">
        <f>'BANCO DADOS-CUSTO TOTAL'!H35</f>
        <v>BELTRANO 12360</v>
      </c>
      <c r="G36" s="100" t="str">
        <f>'BANCO DADOS-CUSTO TOTAL'!I35</f>
        <v>VIGILANTE ARMADO - 12X36 DIURNO</v>
      </c>
      <c r="H36" s="100" t="str">
        <f>'BANCO DADOS-CUSTO TOTAL'!K35</f>
        <v>Belo HorizonteVIGILANTE ARMADO - 12X36 DIURNO</v>
      </c>
      <c r="I36" s="101" t="str">
        <f>'BANCO DADOS-CUSTO TOTAL'!J35</f>
        <v>Efetivo</v>
      </c>
      <c r="J36" s="399">
        <f>'BANCO DADOS-CUSTO TOTAL'!Q35</f>
        <v>1602.86</v>
      </c>
      <c r="K36" s="539">
        <f>'BANCO DADOS-CUSTO TOTAL'!Z35</f>
        <v>0</v>
      </c>
      <c r="L36" s="100">
        <f>'BANCO DADOS-CUSTO TOTAL'!AA35</f>
        <v>30</v>
      </c>
      <c r="M36" s="383">
        <f t="shared" si="0"/>
        <v>1602.86</v>
      </c>
      <c r="N36" s="101"/>
      <c r="O36" s="422">
        <f t="shared" si="9"/>
        <v>15.5</v>
      </c>
      <c r="P36" s="356">
        <f>VLOOKUP(H36,PARAMETROS!E:AX,12,0)</f>
        <v>15.99</v>
      </c>
      <c r="Q36" s="426">
        <f t="shared" si="1"/>
        <v>247.845</v>
      </c>
      <c r="R36" s="426">
        <f t="shared" si="7"/>
        <v>24.784500000000001</v>
      </c>
      <c r="S36" s="426">
        <f t="shared" si="2"/>
        <v>223.06049999999999</v>
      </c>
      <c r="T36" s="356"/>
      <c r="U36" s="422">
        <f t="shared" si="8"/>
        <v>15.5</v>
      </c>
      <c r="V36" s="426">
        <f t="shared" si="3"/>
        <v>12.7</v>
      </c>
      <c r="W36" s="426">
        <f t="shared" si="4"/>
        <v>196.85</v>
      </c>
      <c r="X36" s="126">
        <f t="shared" si="5"/>
        <v>96.171599999999998</v>
      </c>
      <c r="Y36" s="427">
        <f t="shared" si="6"/>
        <v>100.6784</v>
      </c>
      <c r="Z36" s="392"/>
      <c r="AA36" s="428"/>
      <c r="AB36" s="395"/>
      <c r="AC36" s="430"/>
      <c r="AD36" s="430"/>
      <c r="AE36" s="432"/>
      <c r="AF36" s="433"/>
      <c r="AG36" s="433"/>
    </row>
    <row r="37" spans="1:33" s="393" customFormat="1" ht="15.95" customHeight="1">
      <c r="A37" s="319">
        <f>'BANCO DADOS-CUSTO TOTAL'!A36</f>
        <v>1</v>
      </c>
      <c r="B37" s="319">
        <f>'BANCO DADOS-CUSTO TOTAL'!B36</f>
        <v>1</v>
      </c>
      <c r="C37" s="319" t="str">
        <f>'BANCO DADOS-CUSTO TOTAL'!C36</f>
        <v>Belo Horizonte</v>
      </c>
      <c r="D37" s="320">
        <f>'BANCO DADOS-CUSTO TOTAL'!F36</f>
        <v>21</v>
      </c>
      <c r="E37" s="100">
        <f>'BANCO DADOS-CUSTO TOTAL'!G36</f>
        <v>12361</v>
      </c>
      <c r="F37" s="100" t="str">
        <f>'BANCO DADOS-CUSTO TOTAL'!H36</f>
        <v>BELTRANO 12361</v>
      </c>
      <c r="G37" s="100" t="str">
        <f>'BANCO DADOS-CUSTO TOTAL'!I36</f>
        <v>VIGILANTE ARMADO - 12X36 DIURNO</v>
      </c>
      <c r="H37" s="100" t="str">
        <f>'BANCO DADOS-CUSTO TOTAL'!K36</f>
        <v>Belo HorizonteVIGILANTE ARMADO - 12X36 DIURNO</v>
      </c>
      <c r="I37" s="101" t="str">
        <f>'BANCO DADOS-CUSTO TOTAL'!J36</f>
        <v>Efetivo</v>
      </c>
      <c r="J37" s="399">
        <f>'BANCO DADOS-CUSTO TOTAL'!Q36</f>
        <v>1602.86</v>
      </c>
      <c r="K37" s="539">
        <f>'BANCO DADOS-CUSTO TOTAL'!Z36</f>
        <v>0</v>
      </c>
      <c r="L37" s="100">
        <f>'BANCO DADOS-CUSTO TOTAL'!AA36</f>
        <v>30</v>
      </c>
      <c r="M37" s="383">
        <f t="shared" si="0"/>
        <v>1602.86</v>
      </c>
      <c r="N37" s="101"/>
      <c r="O37" s="422">
        <f t="shared" si="9"/>
        <v>15.5</v>
      </c>
      <c r="P37" s="356">
        <f>VLOOKUP(H37,PARAMETROS!E:AX,12,0)</f>
        <v>15.99</v>
      </c>
      <c r="Q37" s="426">
        <f t="shared" si="1"/>
        <v>247.845</v>
      </c>
      <c r="R37" s="426">
        <f t="shared" si="7"/>
        <v>24.784500000000001</v>
      </c>
      <c r="S37" s="426">
        <f t="shared" si="2"/>
        <v>223.06049999999999</v>
      </c>
      <c r="T37" s="356"/>
      <c r="U37" s="422">
        <f t="shared" si="8"/>
        <v>15.5</v>
      </c>
      <c r="V37" s="426">
        <f t="shared" si="3"/>
        <v>12.7</v>
      </c>
      <c r="W37" s="426">
        <f t="shared" si="4"/>
        <v>196.85</v>
      </c>
      <c r="X37" s="126">
        <f t="shared" si="5"/>
        <v>96.171599999999998</v>
      </c>
      <c r="Y37" s="427">
        <f t="shared" si="6"/>
        <v>100.6784</v>
      </c>
      <c r="Z37" s="392"/>
      <c r="AA37" s="428"/>
      <c r="AB37" s="395"/>
      <c r="AC37" s="430"/>
      <c r="AD37" s="430"/>
      <c r="AE37" s="432"/>
      <c r="AF37" s="433"/>
      <c r="AG37" s="433"/>
    </row>
    <row r="38" spans="1:33" s="393" customFormat="1" ht="15.95" customHeight="1">
      <c r="A38" s="319">
        <f>'BANCO DADOS-CUSTO TOTAL'!A37</f>
        <v>1</v>
      </c>
      <c r="B38" s="319">
        <f>'BANCO DADOS-CUSTO TOTAL'!B37</f>
        <v>1</v>
      </c>
      <c r="C38" s="319" t="str">
        <f>'BANCO DADOS-CUSTO TOTAL'!C37</f>
        <v>Belo Horizonte</v>
      </c>
      <c r="D38" s="320">
        <f>'BANCO DADOS-CUSTO TOTAL'!F37</f>
        <v>22</v>
      </c>
      <c r="E38" s="100">
        <f>'BANCO DADOS-CUSTO TOTAL'!G37</f>
        <v>12362</v>
      </c>
      <c r="F38" s="100" t="str">
        <f>'BANCO DADOS-CUSTO TOTAL'!H37</f>
        <v>BELTRANO 12362</v>
      </c>
      <c r="G38" s="100" t="str">
        <f>'BANCO DADOS-CUSTO TOTAL'!I37</f>
        <v>VIGILANTE ARMADO - 12X36 DIURNO</v>
      </c>
      <c r="H38" s="100" t="str">
        <f>'BANCO DADOS-CUSTO TOTAL'!K37</f>
        <v>Belo HorizonteVIGILANTE ARMADO - 12X36 DIURNO</v>
      </c>
      <c r="I38" s="101" t="str">
        <f>'BANCO DADOS-CUSTO TOTAL'!J37</f>
        <v>Efetivo</v>
      </c>
      <c r="J38" s="399">
        <f>'BANCO DADOS-CUSTO TOTAL'!Q37</f>
        <v>1602.86</v>
      </c>
      <c r="K38" s="539">
        <f>'BANCO DADOS-CUSTO TOTAL'!Z37</f>
        <v>0</v>
      </c>
      <c r="L38" s="100">
        <f>'BANCO DADOS-CUSTO TOTAL'!AA37</f>
        <v>30</v>
      </c>
      <c r="M38" s="383">
        <f t="shared" si="0"/>
        <v>1602.86</v>
      </c>
      <c r="N38" s="101"/>
      <c r="O38" s="422">
        <f t="shared" si="9"/>
        <v>15.5</v>
      </c>
      <c r="P38" s="356">
        <f>VLOOKUP(H38,PARAMETROS!E:AX,12,0)</f>
        <v>15.99</v>
      </c>
      <c r="Q38" s="426">
        <f t="shared" si="1"/>
        <v>247.845</v>
      </c>
      <c r="R38" s="426">
        <f t="shared" si="7"/>
        <v>24.784500000000001</v>
      </c>
      <c r="S38" s="426">
        <f t="shared" si="2"/>
        <v>223.06049999999999</v>
      </c>
      <c r="T38" s="356"/>
      <c r="U38" s="422">
        <f t="shared" si="8"/>
        <v>15.5</v>
      </c>
      <c r="V38" s="426">
        <f t="shared" si="3"/>
        <v>12.7</v>
      </c>
      <c r="W38" s="426">
        <f t="shared" si="4"/>
        <v>196.85</v>
      </c>
      <c r="X38" s="126">
        <f t="shared" si="5"/>
        <v>96.171599999999998</v>
      </c>
      <c r="Y38" s="427">
        <f t="shared" si="6"/>
        <v>100.6784</v>
      </c>
      <c r="Z38" s="392"/>
      <c r="AA38" s="428"/>
      <c r="AB38" s="395"/>
      <c r="AC38" s="430"/>
      <c r="AD38" s="430"/>
      <c r="AE38" s="432"/>
      <c r="AF38" s="433"/>
      <c r="AG38" s="433"/>
    </row>
    <row r="39" spans="1:33" s="393" customFormat="1" ht="15.95" customHeight="1">
      <c r="A39" s="319">
        <f>'BANCO DADOS-CUSTO TOTAL'!A38</f>
        <v>1</v>
      </c>
      <c r="B39" s="319">
        <f>'BANCO DADOS-CUSTO TOTAL'!B38</f>
        <v>1</v>
      </c>
      <c r="C39" s="319" t="str">
        <f>'BANCO DADOS-CUSTO TOTAL'!C38</f>
        <v>Belo Horizonte</v>
      </c>
      <c r="D39" s="320">
        <f>'BANCO DADOS-CUSTO TOTAL'!F38</f>
        <v>23</v>
      </c>
      <c r="E39" s="100">
        <f>'BANCO DADOS-CUSTO TOTAL'!G38</f>
        <v>12363</v>
      </c>
      <c r="F39" s="100" t="str">
        <f>'BANCO DADOS-CUSTO TOTAL'!H38</f>
        <v>BELTRANO 12363</v>
      </c>
      <c r="G39" s="100" t="str">
        <f>'BANCO DADOS-CUSTO TOTAL'!I38</f>
        <v>VIGILANTE ARMADO - 12X36 DIURNO</v>
      </c>
      <c r="H39" s="100" t="str">
        <f>'BANCO DADOS-CUSTO TOTAL'!K38</f>
        <v>Belo HorizonteVIGILANTE ARMADO - 12X36 DIURNO</v>
      </c>
      <c r="I39" s="101" t="str">
        <f>'BANCO DADOS-CUSTO TOTAL'!J38</f>
        <v>Efetivo</v>
      </c>
      <c r="J39" s="399">
        <f>'BANCO DADOS-CUSTO TOTAL'!Q38</f>
        <v>1602.86</v>
      </c>
      <c r="K39" s="539">
        <f>'BANCO DADOS-CUSTO TOTAL'!Z38</f>
        <v>0</v>
      </c>
      <c r="L39" s="100">
        <f>'BANCO DADOS-CUSTO TOTAL'!AA38</f>
        <v>30</v>
      </c>
      <c r="M39" s="383">
        <f t="shared" si="0"/>
        <v>1602.86</v>
      </c>
      <c r="N39" s="101"/>
      <c r="O39" s="422">
        <f t="shared" si="9"/>
        <v>15.5</v>
      </c>
      <c r="P39" s="356">
        <f>VLOOKUP(H39,PARAMETROS!E:AX,12,0)</f>
        <v>15.99</v>
      </c>
      <c r="Q39" s="426">
        <f t="shared" si="1"/>
        <v>247.845</v>
      </c>
      <c r="R39" s="426">
        <f t="shared" si="7"/>
        <v>24.784500000000001</v>
      </c>
      <c r="S39" s="426">
        <f t="shared" si="2"/>
        <v>223.06049999999999</v>
      </c>
      <c r="T39" s="356"/>
      <c r="U39" s="422">
        <f t="shared" si="8"/>
        <v>15.5</v>
      </c>
      <c r="V39" s="426">
        <f t="shared" si="3"/>
        <v>12.7</v>
      </c>
      <c r="W39" s="426">
        <f t="shared" si="4"/>
        <v>196.85</v>
      </c>
      <c r="X39" s="126">
        <f t="shared" si="5"/>
        <v>96.171599999999998</v>
      </c>
      <c r="Y39" s="427">
        <f t="shared" si="6"/>
        <v>100.6784</v>
      </c>
      <c r="Z39" s="392"/>
      <c r="AA39" s="428"/>
      <c r="AB39" s="395"/>
      <c r="AC39" s="430"/>
      <c r="AD39" s="430"/>
      <c r="AE39" s="432"/>
      <c r="AF39" s="433"/>
      <c r="AG39" s="433"/>
    </row>
    <row r="40" spans="1:33" s="393" customFormat="1" ht="15.95" customHeight="1">
      <c r="A40" s="319">
        <f>'BANCO DADOS-CUSTO TOTAL'!A39</f>
        <v>1</v>
      </c>
      <c r="B40" s="319">
        <f>'BANCO DADOS-CUSTO TOTAL'!B39</f>
        <v>1</v>
      </c>
      <c r="C40" s="319" t="str">
        <f>'BANCO DADOS-CUSTO TOTAL'!C39</f>
        <v>Belo Horizonte</v>
      </c>
      <c r="D40" s="320">
        <f>'BANCO DADOS-CUSTO TOTAL'!F39</f>
        <v>24</v>
      </c>
      <c r="E40" s="100">
        <f>'BANCO DADOS-CUSTO TOTAL'!G39</f>
        <v>12364</v>
      </c>
      <c r="F40" s="100" t="str">
        <f>'BANCO DADOS-CUSTO TOTAL'!H39</f>
        <v>BELTRANO 12364</v>
      </c>
      <c r="G40" s="100" t="str">
        <f>'BANCO DADOS-CUSTO TOTAL'!I39</f>
        <v>VIGILANTE ARMADO - 12X36 DIURNO</v>
      </c>
      <c r="H40" s="100" t="str">
        <f>'BANCO DADOS-CUSTO TOTAL'!K39</f>
        <v>Belo HorizonteVIGILANTE ARMADO - 12X36 DIURNO</v>
      </c>
      <c r="I40" s="101" t="str">
        <f>'BANCO DADOS-CUSTO TOTAL'!J39</f>
        <v>Efetivo</v>
      </c>
      <c r="J40" s="399">
        <f>'BANCO DADOS-CUSTO TOTAL'!Q39</f>
        <v>1602.86</v>
      </c>
      <c r="K40" s="539">
        <f>'BANCO DADOS-CUSTO TOTAL'!Z39</f>
        <v>0</v>
      </c>
      <c r="L40" s="100">
        <f>'BANCO DADOS-CUSTO TOTAL'!AA39</f>
        <v>30</v>
      </c>
      <c r="M40" s="383">
        <f t="shared" si="0"/>
        <v>1602.86</v>
      </c>
      <c r="N40" s="101"/>
      <c r="O40" s="422">
        <f t="shared" si="9"/>
        <v>15.5</v>
      </c>
      <c r="P40" s="356">
        <f>VLOOKUP(H40,PARAMETROS!E:AX,12,0)</f>
        <v>15.99</v>
      </c>
      <c r="Q40" s="426">
        <f t="shared" si="1"/>
        <v>247.845</v>
      </c>
      <c r="R40" s="426">
        <f t="shared" si="7"/>
        <v>24.784500000000001</v>
      </c>
      <c r="S40" s="426">
        <f t="shared" si="2"/>
        <v>223.06049999999999</v>
      </c>
      <c r="T40" s="356"/>
      <c r="U40" s="422">
        <f t="shared" si="8"/>
        <v>15.5</v>
      </c>
      <c r="V40" s="426">
        <f t="shared" si="3"/>
        <v>12.7</v>
      </c>
      <c r="W40" s="426">
        <f t="shared" si="4"/>
        <v>196.85</v>
      </c>
      <c r="X40" s="126">
        <f t="shared" si="5"/>
        <v>96.171599999999998</v>
      </c>
      <c r="Y40" s="427">
        <f t="shared" si="6"/>
        <v>100.6784</v>
      </c>
      <c r="Z40" s="392"/>
      <c r="AA40" s="428"/>
      <c r="AB40" s="395"/>
      <c r="AC40" s="430"/>
      <c r="AD40" s="430"/>
      <c r="AE40" s="432"/>
      <c r="AF40" s="433"/>
      <c r="AG40" s="433"/>
    </row>
    <row r="41" spans="1:33" s="393" customFormat="1" ht="15.95" customHeight="1">
      <c r="A41" s="319">
        <f>'BANCO DADOS-CUSTO TOTAL'!A40</f>
        <v>1</v>
      </c>
      <c r="B41" s="319">
        <f>'BANCO DADOS-CUSTO TOTAL'!B40</f>
        <v>1</v>
      </c>
      <c r="C41" s="319" t="str">
        <f>'BANCO DADOS-CUSTO TOTAL'!C40</f>
        <v>Belo Horizonte</v>
      </c>
      <c r="D41" s="320">
        <f>'BANCO DADOS-CUSTO TOTAL'!F40</f>
        <v>25</v>
      </c>
      <c r="E41" s="100">
        <f>'BANCO DADOS-CUSTO TOTAL'!G40</f>
        <v>12365</v>
      </c>
      <c r="F41" s="100" t="str">
        <f>'BANCO DADOS-CUSTO TOTAL'!H40</f>
        <v>BELTRANO 12365</v>
      </c>
      <c r="G41" s="100" t="str">
        <f>'BANCO DADOS-CUSTO TOTAL'!I40</f>
        <v>VIGILANTE ARMADO - 12X36 DIURNO</v>
      </c>
      <c r="H41" s="100" t="str">
        <f>'BANCO DADOS-CUSTO TOTAL'!K40</f>
        <v>Belo HorizonteVIGILANTE ARMADO - 12X36 DIURNO</v>
      </c>
      <c r="I41" s="101" t="str">
        <f>'BANCO DADOS-CUSTO TOTAL'!J40</f>
        <v>Efetivo</v>
      </c>
      <c r="J41" s="399">
        <f>'BANCO DADOS-CUSTO TOTAL'!Q40</f>
        <v>1602.86</v>
      </c>
      <c r="K41" s="539">
        <f>'BANCO DADOS-CUSTO TOTAL'!Z40</f>
        <v>0</v>
      </c>
      <c r="L41" s="100">
        <f>'BANCO DADOS-CUSTO TOTAL'!AA40</f>
        <v>30</v>
      </c>
      <c r="M41" s="383">
        <f t="shared" si="0"/>
        <v>1602.86</v>
      </c>
      <c r="N41" s="101"/>
      <c r="O41" s="422">
        <f t="shared" si="9"/>
        <v>15.5</v>
      </c>
      <c r="P41" s="356">
        <f>VLOOKUP(H41,PARAMETROS!E:AX,12,0)</f>
        <v>15.99</v>
      </c>
      <c r="Q41" s="426">
        <f t="shared" si="1"/>
        <v>247.845</v>
      </c>
      <c r="R41" s="426">
        <f t="shared" si="7"/>
        <v>24.784500000000001</v>
      </c>
      <c r="S41" s="426">
        <f t="shared" si="2"/>
        <v>223.06049999999999</v>
      </c>
      <c r="T41" s="356"/>
      <c r="U41" s="422">
        <f t="shared" si="8"/>
        <v>15.5</v>
      </c>
      <c r="V41" s="426">
        <f t="shared" si="3"/>
        <v>12.7</v>
      </c>
      <c r="W41" s="426">
        <f t="shared" si="4"/>
        <v>196.85</v>
      </c>
      <c r="X41" s="126">
        <f t="shared" si="5"/>
        <v>96.171599999999998</v>
      </c>
      <c r="Y41" s="427">
        <f t="shared" si="6"/>
        <v>100.6784</v>
      </c>
      <c r="Z41" s="392"/>
      <c r="AA41" s="428"/>
      <c r="AB41" s="395"/>
      <c r="AC41" s="430"/>
      <c r="AD41" s="430"/>
      <c r="AE41" s="432"/>
      <c r="AF41" s="433"/>
      <c r="AG41" s="433"/>
    </row>
    <row r="42" spans="1:33" s="393" customFormat="1" ht="15.95" customHeight="1">
      <c r="A42" s="319">
        <f>'BANCO DADOS-CUSTO TOTAL'!A41</f>
        <v>1</v>
      </c>
      <c r="B42" s="319">
        <f>'BANCO DADOS-CUSTO TOTAL'!B41</f>
        <v>1</v>
      </c>
      <c r="C42" s="319" t="str">
        <f>'BANCO DADOS-CUSTO TOTAL'!C41</f>
        <v>Belo Horizonte</v>
      </c>
      <c r="D42" s="320">
        <f>'BANCO DADOS-CUSTO TOTAL'!F41</f>
        <v>26</v>
      </c>
      <c r="E42" s="100">
        <f>'BANCO DADOS-CUSTO TOTAL'!G41</f>
        <v>12366</v>
      </c>
      <c r="F42" s="100" t="str">
        <f>'BANCO DADOS-CUSTO TOTAL'!H41</f>
        <v>BELTRANO 12366</v>
      </c>
      <c r="G42" s="100" t="str">
        <f>'BANCO DADOS-CUSTO TOTAL'!I41</f>
        <v>VIGILANTE ARMADO - 12X36 NOTURNO</v>
      </c>
      <c r="H42" s="100" t="str">
        <f>'BANCO DADOS-CUSTO TOTAL'!K41</f>
        <v>Belo HorizonteVIGILANTE ARMADO - 12X36 NOTURNO</v>
      </c>
      <c r="I42" s="101" t="str">
        <f>'BANCO DADOS-CUSTO TOTAL'!J41</f>
        <v>Efetivo</v>
      </c>
      <c r="J42" s="399">
        <f>'BANCO DADOS-CUSTO TOTAL'!Q41</f>
        <v>1602.86</v>
      </c>
      <c r="K42" s="539">
        <f>'BANCO DADOS-CUSTO TOTAL'!Z41</f>
        <v>0</v>
      </c>
      <c r="L42" s="100">
        <f>'BANCO DADOS-CUSTO TOTAL'!AA41</f>
        <v>30</v>
      </c>
      <c r="M42" s="383">
        <f t="shared" si="0"/>
        <v>1602.86</v>
      </c>
      <c r="N42" s="101"/>
      <c r="O42" s="422">
        <f t="shared" si="9"/>
        <v>15.5</v>
      </c>
      <c r="P42" s="356">
        <f>VLOOKUP(H42,PARAMETROS!E:AX,12,0)</f>
        <v>15.99</v>
      </c>
      <c r="Q42" s="426">
        <f t="shared" si="1"/>
        <v>247.845</v>
      </c>
      <c r="R42" s="426">
        <f t="shared" si="7"/>
        <v>24.784500000000001</v>
      </c>
      <c r="S42" s="426">
        <f t="shared" si="2"/>
        <v>223.06049999999999</v>
      </c>
      <c r="T42" s="356"/>
      <c r="U42" s="422">
        <f t="shared" si="8"/>
        <v>15.5</v>
      </c>
      <c r="V42" s="426">
        <f t="shared" si="3"/>
        <v>12.7</v>
      </c>
      <c r="W42" s="426">
        <f t="shared" si="4"/>
        <v>196.85</v>
      </c>
      <c r="X42" s="126">
        <f t="shared" si="5"/>
        <v>96.171599999999998</v>
      </c>
      <c r="Y42" s="427">
        <f t="shared" si="6"/>
        <v>100.6784</v>
      </c>
      <c r="Z42" s="392"/>
      <c r="AA42" s="428"/>
      <c r="AB42" s="395"/>
      <c r="AC42" s="430"/>
      <c r="AD42" s="430"/>
      <c r="AE42" s="432"/>
      <c r="AF42" s="433"/>
      <c r="AG42" s="433"/>
    </row>
    <row r="43" spans="1:33" s="393" customFormat="1" ht="15.95" customHeight="1">
      <c r="A43" s="319">
        <f>'BANCO DADOS-CUSTO TOTAL'!A42</f>
        <v>1</v>
      </c>
      <c r="B43" s="319">
        <f>'BANCO DADOS-CUSTO TOTAL'!B42</f>
        <v>1</v>
      </c>
      <c r="C43" s="319" t="str">
        <f>'BANCO DADOS-CUSTO TOTAL'!C42</f>
        <v>Belo Horizonte</v>
      </c>
      <c r="D43" s="320">
        <f>'BANCO DADOS-CUSTO TOTAL'!F42</f>
        <v>27</v>
      </c>
      <c r="E43" s="100">
        <f>'BANCO DADOS-CUSTO TOTAL'!G42</f>
        <v>12367</v>
      </c>
      <c r="F43" s="100" t="str">
        <f>'BANCO DADOS-CUSTO TOTAL'!H42</f>
        <v>BELTRANO 12367</v>
      </c>
      <c r="G43" s="100" t="str">
        <f>'BANCO DADOS-CUSTO TOTAL'!I42</f>
        <v>VIGILANTE ARMADO - 12X36 NOTURNO</v>
      </c>
      <c r="H43" s="100" t="str">
        <f>'BANCO DADOS-CUSTO TOTAL'!K42</f>
        <v>Belo HorizonteVIGILANTE ARMADO - 12X36 NOTURNO</v>
      </c>
      <c r="I43" s="101" t="str">
        <f>'BANCO DADOS-CUSTO TOTAL'!J42</f>
        <v>Efetivo</v>
      </c>
      <c r="J43" s="399">
        <f>'BANCO DADOS-CUSTO TOTAL'!Q42</f>
        <v>1602.86</v>
      </c>
      <c r="K43" s="539">
        <f>'BANCO DADOS-CUSTO TOTAL'!Z42</f>
        <v>0</v>
      </c>
      <c r="L43" s="100">
        <f>'BANCO DADOS-CUSTO TOTAL'!AA42</f>
        <v>30</v>
      </c>
      <c r="M43" s="383">
        <f t="shared" si="0"/>
        <v>1602.86</v>
      </c>
      <c r="N43" s="101"/>
      <c r="O43" s="422">
        <f t="shared" si="9"/>
        <v>15.5</v>
      </c>
      <c r="P43" s="356">
        <f>VLOOKUP(H43,PARAMETROS!E:AX,12,0)</f>
        <v>15.99</v>
      </c>
      <c r="Q43" s="426">
        <f t="shared" si="1"/>
        <v>247.845</v>
      </c>
      <c r="R43" s="426">
        <f t="shared" si="7"/>
        <v>24.784500000000001</v>
      </c>
      <c r="S43" s="426">
        <f t="shared" si="2"/>
        <v>223.06049999999999</v>
      </c>
      <c r="T43" s="356"/>
      <c r="U43" s="422">
        <f t="shared" si="8"/>
        <v>15.5</v>
      </c>
      <c r="V43" s="426">
        <f t="shared" si="3"/>
        <v>12.7</v>
      </c>
      <c r="W43" s="426">
        <f t="shared" si="4"/>
        <v>196.85</v>
      </c>
      <c r="X43" s="126">
        <f t="shared" si="5"/>
        <v>96.171599999999998</v>
      </c>
      <c r="Y43" s="427">
        <f t="shared" si="6"/>
        <v>100.6784</v>
      </c>
      <c r="Z43" s="392"/>
      <c r="AA43" s="428"/>
      <c r="AB43" s="395"/>
      <c r="AC43" s="430"/>
      <c r="AD43" s="430"/>
      <c r="AE43" s="432"/>
      <c r="AF43" s="433"/>
      <c r="AG43" s="433"/>
    </row>
    <row r="44" spans="1:33" s="393" customFormat="1" ht="15.95" customHeight="1">
      <c r="A44" s="319">
        <f>'BANCO DADOS-CUSTO TOTAL'!A43</f>
        <v>1</v>
      </c>
      <c r="B44" s="319">
        <f>'BANCO DADOS-CUSTO TOTAL'!B43</f>
        <v>1</v>
      </c>
      <c r="C44" s="319" t="str">
        <f>'BANCO DADOS-CUSTO TOTAL'!C43</f>
        <v>Belo Horizonte</v>
      </c>
      <c r="D44" s="320">
        <f>'BANCO DADOS-CUSTO TOTAL'!F43</f>
        <v>28</v>
      </c>
      <c r="E44" s="100">
        <f>'BANCO DADOS-CUSTO TOTAL'!G43</f>
        <v>12368</v>
      </c>
      <c r="F44" s="100" t="str">
        <f>'BANCO DADOS-CUSTO TOTAL'!H43</f>
        <v>BELTRANO 12368</v>
      </c>
      <c r="G44" s="100" t="str">
        <f>'BANCO DADOS-CUSTO TOTAL'!I43</f>
        <v>VIGILANTE ARMADO - 12X36 NOTURNO</v>
      </c>
      <c r="H44" s="100" t="str">
        <f>'BANCO DADOS-CUSTO TOTAL'!K43</f>
        <v>Belo HorizonteVIGILANTE ARMADO - 12X36 NOTURNO</v>
      </c>
      <c r="I44" s="101" t="str">
        <f>'BANCO DADOS-CUSTO TOTAL'!J43</f>
        <v>Efetivo</v>
      </c>
      <c r="J44" s="399">
        <f>'BANCO DADOS-CUSTO TOTAL'!Q43</f>
        <v>1602.86</v>
      </c>
      <c r="K44" s="539">
        <f>'BANCO DADOS-CUSTO TOTAL'!Z43</f>
        <v>0</v>
      </c>
      <c r="L44" s="100">
        <f>'BANCO DADOS-CUSTO TOTAL'!AA43</f>
        <v>30</v>
      </c>
      <c r="M44" s="383">
        <f t="shared" si="0"/>
        <v>1602.86</v>
      </c>
      <c r="N44" s="101"/>
      <c r="O44" s="422">
        <f t="shared" si="9"/>
        <v>15.5</v>
      </c>
      <c r="P44" s="356">
        <f>VLOOKUP(H44,PARAMETROS!E:AX,12,0)</f>
        <v>15.99</v>
      </c>
      <c r="Q44" s="426">
        <f t="shared" si="1"/>
        <v>247.845</v>
      </c>
      <c r="R44" s="426">
        <f t="shared" si="7"/>
        <v>24.784500000000001</v>
      </c>
      <c r="S44" s="426">
        <f t="shared" si="2"/>
        <v>223.06049999999999</v>
      </c>
      <c r="T44" s="356"/>
      <c r="U44" s="422">
        <f t="shared" si="8"/>
        <v>15.5</v>
      </c>
      <c r="V44" s="426">
        <f t="shared" si="3"/>
        <v>12.7</v>
      </c>
      <c r="W44" s="426">
        <f t="shared" si="4"/>
        <v>196.85</v>
      </c>
      <c r="X44" s="126">
        <f t="shared" si="5"/>
        <v>96.171599999999998</v>
      </c>
      <c r="Y44" s="427">
        <f t="shared" si="6"/>
        <v>100.6784</v>
      </c>
      <c r="Z44" s="392"/>
      <c r="AA44" s="428"/>
      <c r="AB44" s="395"/>
      <c r="AC44" s="430"/>
      <c r="AD44" s="430"/>
      <c r="AE44" s="432"/>
      <c r="AF44" s="433"/>
      <c r="AG44" s="433"/>
    </row>
    <row r="45" spans="1:33" s="393" customFormat="1" ht="15.95" customHeight="1">
      <c r="A45" s="319">
        <f>'BANCO DADOS-CUSTO TOTAL'!A44</f>
        <v>1</v>
      </c>
      <c r="B45" s="319">
        <f>'BANCO DADOS-CUSTO TOTAL'!B44</f>
        <v>1</v>
      </c>
      <c r="C45" s="319" t="str">
        <f>'BANCO DADOS-CUSTO TOTAL'!C44</f>
        <v>Belo Horizonte</v>
      </c>
      <c r="D45" s="320">
        <f>'BANCO DADOS-CUSTO TOTAL'!F44</f>
        <v>29</v>
      </c>
      <c r="E45" s="100">
        <f>'BANCO DADOS-CUSTO TOTAL'!G44</f>
        <v>12369</v>
      </c>
      <c r="F45" s="100" t="str">
        <f>'BANCO DADOS-CUSTO TOTAL'!H44</f>
        <v>BELTRANO 12369</v>
      </c>
      <c r="G45" s="100" t="str">
        <f>'BANCO DADOS-CUSTO TOTAL'!I44</f>
        <v>VIGILANTE ARMADO - 12X36 NOTURNO</v>
      </c>
      <c r="H45" s="100" t="str">
        <f>'BANCO DADOS-CUSTO TOTAL'!K44</f>
        <v>Belo HorizonteVIGILANTE ARMADO - 12X36 NOTURNO</v>
      </c>
      <c r="I45" s="101" t="str">
        <f>'BANCO DADOS-CUSTO TOTAL'!J44</f>
        <v>Efetivo</v>
      </c>
      <c r="J45" s="399">
        <f>'BANCO DADOS-CUSTO TOTAL'!Q44</f>
        <v>1602.86</v>
      </c>
      <c r="K45" s="539">
        <f>'BANCO DADOS-CUSTO TOTAL'!Z44</f>
        <v>0</v>
      </c>
      <c r="L45" s="100">
        <f>'BANCO DADOS-CUSTO TOTAL'!AA44</f>
        <v>1</v>
      </c>
      <c r="M45" s="383">
        <f t="shared" si="0"/>
        <v>53.428666666666665</v>
      </c>
      <c r="N45" s="101"/>
      <c r="O45" s="422">
        <f t="shared" si="9"/>
        <v>15.5</v>
      </c>
      <c r="P45" s="356">
        <f>VLOOKUP(H45,PARAMETROS!E:AX,12,0)</f>
        <v>15.99</v>
      </c>
      <c r="Q45" s="426">
        <f t="shared" si="1"/>
        <v>247.845</v>
      </c>
      <c r="R45" s="426">
        <f t="shared" si="7"/>
        <v>24.784500000000001</v>
      </c>
      <c r="S45" s="426">
        <f t="shared" si="2"/>
        <v>223.06049999999999</v>
      </c>
      <c r="T45" s="356"/>
      <c r="U45" s="422">
        <f t="shared" si="8"/>
        <v>15.5</v>
      </c>
      <c r="V45" s="426">
        <f t="shared" si="3"/>
        <v>12.7</v>
      </c>
      <c r="W45" s="426">
        <f t="shared" si="4"/>
        <v>196.85</v>
      </c>
      <c r="X45" s="126">
        <f t="shared" si="5"/>
        <v>3.2057199999999999</v>
      </c>
      <c r="Y45" s="427">
        <f t="shared" si="6"/>
        <v>193.64427999999998</v>
      </c>
      <c r="Z45" s="392"/>
      <c r="AA45" s="428"/>
      <c r="AB45" s="395"/>
      <c r="AC45" s="430"/>
      <c r="AD45" s="430"/>
      <c r="AE45" s="432"/>
      <c r="AF45" s="433"/>
      <c r="AG45" s="433"/>
    </row>
    <row r="46" spans="1:33" s="393" customFormat="1" ht="15.95" customHeight="1">
      <c r="A46" s="319">
        <f>'BANCO DADOS-CUSTO TOTAL'!A45</f>
        <v>1</v>
      </c>
      <c r="B46" s="319">
        <f>'BANCO DADOS-CUSTO TOTAL'!B45</f>
        <v>0</v>
      </c>
      <c r="C46" s="319" t="str">
        <f>'BANCO DADOS-CUSTO TOTAL'!C45</f>
        <v>Belo Horizonte</v>
      </c>
      <c r="D46" s="320">
        <f>'BANCO DADOS-CUSTO TOTAL'!F45</f>
        <v>226</v>
      </c>
      <c r="E46" s="100">
        <f>'BANCO DADOS-CUSTO TOTAL'!G45</f>
        <v>124226</v>
      </c>
      <c r="F46" s="100" t="str">
        <f>'BANCO DADOS-CUSTO TOTAL'!H45</f>
        <v>BELTRANO 124226</v>
      </c>
      <c r="G46" s="100" t="str">
        <f>'BANCO DADOS-CUSTO TOTAL'!I45</f>
        <v>VIGILANTE ARMADO - 12X36 NOTURNO</v>
      </c>
      <c r="H46" s="100" t="str">
        <f>'BANCO DADOS-CUSTO TOTAL'!K45</f>
        <v>Belo HorizonteVIGILANTE ARMADO - 12X36 NOTURNO</v>
      </c>
      <c r="I46" s="101" t="str">
        <f>'BANCO DADOS-CUSTO TOTAL'!J45</f>
        <v>Substituto</v>
      </c>
      <c r="J46" s="399">
        <f>'BANCO DADOS-CUSTO TOTAL'!Q45</f>
        <v>1602.86</v>
      </c>
      <c r="K46" s="539">
        <f>'BANCO DADOS-CUSTO TOTAL'!Z45</f>
        <v>0</v>
      </c>
      <c r="L46" s="100">
        <f>'BANCO DADOS-CUSTO TOTAL'!AA45</f>
        <v>29</v>
      </c>
      <c r="M46" s="383">
        <f t="shared" si="0"/>
        <v>1549.4313333333332</v>
      </c>
      <c r="N46" s="101"/>
      <c r="O46" s="422">
        <v>0</v>
      </c>
      <c r="P46" s="356">
        <f>VLOOKUP(H46,PARAMETROS!E:AX,12,0)</f>
        <v>15.99</v>
      </c>
      <c r="Q46" s="426">
        <f t="shared" si="1"/>
        <v>0</v>
      </c>
      <c r="R46" s="426">
        <f t="shared" si="7"/>
        <v>0</v>
      </c>
      <c r="S46" s="426">
        <f t="shared" si="2"/>
        <v>0</v>
      </c>
      <c r="T46" s="356"/>
      <c r="U46" s="422">
        <f t="shared" si="8"/>
        <v>0</v>
      </c>
      <c r="V46" s="426">
        <f t="shared" si="3"/>
        <v>12.7</v>
      </c>
      <c r="W46" s="426">
        <f t="shared" si="4"/>
        <v>0</v>
      </c>
      <c r="X46" s="126">
        <f t="shared" si="5"/>
        <v>0</v>
      </c>
      <c r="Y46" s="427">
        <f t="shared" si="6"/>
        <v>0</v>
      </c>
      <c r="Z46" s="392"/>
      <c r="AA46" s="428"/>
      <c r="AB46" s="395"/>
      <c r="AC46" s="430"/>
      <c r="AD46" s="430"/>
      <c r="AE46" s="432"/>
      <c r="AF46" s="433"/>
      <c r="AG46" s="433"/>
    </row>
    <row r="47" spans="1:33" s="393" customFormat="1" ht="15.95" customHeight="1">
      <c r="A47" s="319">
        <f>'BANCO DADOS-CUSTO TOTAL'!A46</f>
        <v>1</v>
      </c>
      <c r="B47" s="319">
        <f>'BANCO DADOS-CUSTO TOTAL'!B46</f>
        <v>1</v>
      </c>
      <c r="C47" s="319" t="str">
        <f>'BANCO DADOS-CUSTO TOTAL'!C46</f>
        <v>Belo Horizonte</v>
      </c>
      <c r="D47" s="320">
        <f>'BANCO DADOS-CUSTO TOTAL'!F46</f>
        <v>30</v>
      </c>
      <c r="E47" s="100">
        <f>'BANCO DADOS-CUSTO TOTAL'!G46</f>
        <v>12370</v>
      </c>
      <c r="F47" s="100" t="str">
        <f>'BANCO DADOS-CUSTO TOTAL'!H46</f>
        <v>BELTRANO 12370</v>
      </c>
      <c r="G47" s="100" t="str">
        <f>'BANCO DADOS-CUSTO TOTAL'!I46</f>
        <v>VIGILANTE ARMADO - 12X36 NOTURNO</v>
      </c>
      <c r="H47" s="100" t="str">
        <f>'BANCO DADOS-CUSTO TOTAL'!K46</f>
        <v>Belo HorizonteVIGILANTE ARMADO - 12X36 NOTURNO</v>
      </c>
      <c r="I47" s="101" t="str">
        <f>'BANCO DADOS-CUSTO TOTAL'!J46</f>
        <v>Efetivo</v>
      </c>
      <c r="J47" s="399">
        <f>'BANCO DADOS-CUSTO TOTAL'!Q46</f>
        <v>1602.86</v>
      </c>
      <c r="K47" s="539">
        <f>'BANCO DADOS-CUSTO TOTAL'!Z46</f>
        <v>0</v>
      </c>
      <c r="L47" s="100">
        <f>'BANCO DADOS-CUSTO TOTAL'!AA46</f>
        <v>30</v>
      </c>
      <c r="M47" s="383">
        <f t="shared" si="0"/>
        <v>1602.86</v>
      </c>
      <c r="N47" s="101"/>
      <c r="O47" s="422">
        <f t="shared" si="9"/>
        <v>15.5</v>
      </c>
      <c r="P47" s="356">
        <f>VLOOKUP(H47,PARAMETROS!E:AX,12,0)</f>
        <v>15.99</v>
      </c>
      <c r="Q47" s="426">
        <f t="shared" si="1"/>
        <v>247.845</v>
      </c>
      <c r="R47" s="426">
        <f t="shared" si="7"/>
        <v>24.784500000000001</v>
      </c>
      <c r="S47" s="426">
        <f t="shared" si="2"/>
        <v>223.06049999999999</v>
      </c>
      <c r="T47" s="356"/>
      <c r="U47" s="422">
        <f t="shared" si="8"/>
        <v>15.5</v>
      </c>
      <c r="V47" s="426">
        <f t="shared" si="3"/>
        <v>12.7</v>
      </c>
      <c r="W47" s="426">
        <f t="shared" si="4"/>
        <v>196.85</v>
      </c>
      <c r="X47" s="126">
        <f t="shared" si="5"/>
        <v>96.171599999999998</v>
      </c>
      <c r="Y47" s="427">
        <f t="shared" si="6"/>
        <v>100.6784</v>
      </c>
      <c r="Z47" s="392"/>
      <c r="AA47" s="428"/>
      <c r="AB47" s="395"/>
      <c r="AC47" s="430"/>
      <c r="AD47" s="430"/>
      <c r="AE47" s="432"/>
      <c r="AF47" s="433"/>
      <c r="AG47" s="433"/>
    </row>
    <row r="48" spans="1:33" s="393" customFormat="1" ht="15.95" customHeight="1">
      <c r="A48" s="319">
        <f>'BANCO DADOS-CUSTO TOTAL'!A47</f>
        <v>1</v>
      </c>
      <c r="B48" s="319">
        <f>'BANCO DADOS-CUSTO TOTAL'!B47</f>
        <v>1</v>
      </c>
      <c r="C48" s="319" t="str">
        <f>'BANCO DADOS-CUSTO TOTAL'!C47</f>
        <v>Belo Horizonte</v>
      </c>
      <c r="D48" s="320">
        <f>'BANCO DADOS-CUSTO TOTAL'!F47</f>
        <v>31</v>
      </c>
      <c r="E48" s="100">
        <f>'BANCO DADOS-CUSTO TOTAL'!G47</f>
        <v>12371</v>
      </c>
      <c r="F48" s="100" t="str">
        <f>'BANCO DADOS-CUSTO TOTAL'!H47</f>
        <v>BELTRANO 12371</v>
      </c>
      <c r="G48" s="100" t="str">
        <f>'BANCO DADOS-CUSTO TOTAL'!I47</f>
        <v>VIGILANTE ARMADO - 12X36 NOTURNO</v>
      </c>
      <c r="H48" s="100" t="str">
        <f>'BANCO DADOS-CUSTO TOTAL'!K47</f>
        <v>Belo HorizonteVIGILANTE ARMADO - 12X36 NOTURNO</v>
      </c>
      <c r="I48" s="101" t="str">
        <f>'BANCO DADOS-CUSTO TOTAL'!J47</f>
        <v>Efetivo</v>
      </c>
      <c r="J48" s="399">
        <f>'BANCO DADOS-CUSTO TOTAL'!Q47</f>
        <v>1602.86</v>
      </c>
      <c r="K48" s="539">
        <f>'BANCO DADOS-CUSTO TOTAL'!Z47</f>
        <v>0</v>
      </c>
      <c r="L48" s="100">
        <f>'BANCO DADOS-CUSTO TOTAL'!AA47</f>
        <v>30</v>
      </c>
      <c r="M48" s="383">
        <f t="shared" si="0"/>
        <v>1602.86</v>
      </c>
      <c r="N48" s="101"/>
      <c r="O48" s="422">
        <f t="shared" si="9"/>
        <v>15.5</v>
      </c>
      <c r="P48" s="356">
        <f>VLOOKUP(H48,PARAMETROS!E:AX,12,0)</f>
        <v>15.99</v>
      </c>
      <c r="Q48" s="426">
        <f t="shared" si="1"/>
        <v>247.845</v>
      </c>
      <c r="R48" s="426">
        <f t="shared" si="7"/>
        <v>24.784500000000001</v>
      </c>
      <c r="S48" s="426">
        <f t="shared" si="2"/>
        <v>223.06049999999999</v>
      </c>
      <c r="T48" s="356"/>
      <c r="U48" s="422">
        <f t="shared" si="8"/>
        <v>15.5</v>
      </c>
      <c r="V48" s="426">
        <f t="shared" si="3"/>
        <v>12.7</v>
      </c>
      <c r="W48" s="426">
        <f t="shared" si="4"/>
        <v>196.85</v>
      </c>
      <c r="X48" s="126">
        <f t="shared" si="5"/>
        <v>96.171599999999998</v>
      </c>
      <c r="Y48" s="427">
        <f t="shared" si="6"/>
        <v>100.6784</v>
      </c>
      <c r="Z48" s="392"/>
      <c r="AA48" s="428"/>
      <c r="AB48" s="395"/>
      <c r="AC48" s="430"/>
      <c r="AD48" s="430"/>
      <c r="AE48" s="432"/>
      <c r="AF48" s="433"/>
      <c r="AG48" s="433"/>
    </row>
    <row r="49" spans="1:33" s="393" customFormat="1" ht="15.95" customHeight="1">
      <c r="A49" s="319">
        <f>'BANCO DADOS-CUSTO TOTAL'!A48</f>
        <v>1</v>
      </c>
      <c r="B49" s="319">
        <f>'BANCO DADOS-CUSTO TOTAL'!B48</f>
        <v>1</v>
      </c>
      <c r="C49" s="319" t="str">
        <f>'BANCO DADOS-CUSTO TOTAL'!C48</f>
        <v>Belo Horizonte</v>
      </c>
      <c r="D49" s="320">
        <f>'BANCO DADOS-CUSTO TOTAL'!F48</f>
        <v>32</v>
      </c>
      <c r="E49" s="100">
        <f>'BANCO DADOS-CUSTO TOTAL'!G48</f>
        <v>12372</v>
      </c>
      <c r="F49" s="100" t="str">
        <f>'BANCO DADOS-CUSTO TOTAL'!H48</f>
        <v>BELTRANO 12372</v>
      </c>
      <c r="G49" s="100" t="str">
        <f>'BANCO DADOS-CUSTO TOTAL'!I48</f>
        <v>VIGILANTE ARMADO - 12X36 NOTURNO</v>
      </c>
      <c r="H49" s="100" t="str">
        <f>'BANCO DADOS-CUSTO TOTAL'!K48</f>
        <v>Belo HorizonteVIGILANTE ARMADO - 12X36 NOTURNO</v>
      </c>
      <c r="I49" s="101" t="str">
        <f>'BANCO DADOS-CUSTO TOTAL'!J48</f>
        <v>Efetivo</v>
      </c>
      <c r="J49" s="399">
        <f>'BANCO DADOS-CUSTO TOTAL'!Q48</f>
        <v>1602.86</v>
      </c>
      <c r="K49" s="539">
        <f>'BANCO DADOS-CUSTO TOTAL'!Z48</f>
        <v>0</v>
      </c>
      <c r="L49" s="100">
        <f>'BANCO DADOS-CUSTO TOTAL'!AA48</f>
        <v>20</v>
      </c>
      <c r="M49" s="383">
        <f t="shared" si="0"/>
        <v>1068.5733333333333</v>
      </c>
      <c r="N49" s="101"/>
      <c r="O49" s="422">
        <f t="shared" si="9"/>
        <v>15.5</v>
      </c>
      <c r="P49" s="356">
        <f>VLOOKUP(H49,PARAMETROS!E:AX,12,0)</f>
        <v>15.99</v>
      </c>
      <c r="Q49" s="426">
        <f t="shared" si="1"/>
        <v>247.845</v>
      </c>
      <c r="R49" s="426">
        <f t="shared" si="7"/>
        <v>24.784500000000001</v>
      </c>
      <c r="S49" s="426">
        <f t="shared" si="2"/>
        <v>223.06049999999999</v>
      </c>
      <c r="T49" s="356"/>
      <c r="U49" s="422">
        <f t="shared" si="8"/>
        <v>15.5</v>
      </c>
      <c r="V49" s="426">
        <f t="shared" si="3"/>
        <v>12.7</v>
      </c>
      <c r="W49" s="426">
        <f t="shared" si="4"/>
        <v>196.85</v>
      </c>
      <c r="X49" s="126">
        <f t="shared" si="5"/>
        <v>64.114399999999989</v>
      </c>
      <c r="Y49" s="427">
        <f t="shared" si="6"/>
        <v>132.73560000000001</v>
      </c>
      <c r="Z49" s="392"/>
      <c r="AA49" s="428"/>
      <c r="AB49" s="395"/>
      <c r="AC49" s="430"/>
      <c r="AD49" s="430"/>
      <c r="AE49" s="432"/>
      <c r="AF49" s="433"/>
      <c r="AG49" s="433"/>
    </row>
    <row r="50" spans="1:33" s="393" customFormat="1" ht="15.95" customHeight="1">
      <c r="A50" s="319">
        <f>'BANCO DADOS-CUSTO TOTAL'!A49</f>
        <v>1</v>
      </c>
      <c r="B50" s="319">
        <f>'BANCO DADOS-CUSTO TOTAL'!B49</f>
        <v>0</v>
      </c>
      <c r="C50" s="319" t="str">
        <f>'BANCO DADOS-CUSTO TOTAL'!C49</f>
        <v>Belo Horizonte</v>
      </c>
      <c r="D50" s="320">
        <f>'BANCO DADOS-CUSTO TOTAL'!F49</f>
        <v>280</v>
      </c>
      <c r="E50" s="100">
        <f>'BANCO DADOS-CUSTO TOTAL'!G49</f>
        <v>124280</v>
      </c>
      <c r="F50" s="100" t="str">
        <f>'BANCO DADOS-CUSTO TOTAL'!H49</f>
        <v>BELTRANO 124280.</v>
      </c>
      <c r="G50" s="100" t="str">
        <f>'BANCO DADOS-CUSTO TOTAL'!I49</f>
        <v>VIGILANTE ARMADO - 12X36 DIURNO</v>
      </c>
      <c r="H50" s="100" t="str">
        <f>'BANCO DADOS-CUSTO TOTAL'!K49</f>
        <v>Belo HorizonteVIGILANTE ARMADO - 12X36 DIURNO</v>
      </c>
      <c r="I50" s="101" t="str">
        <f>'BANCO DADOS-CUSTO TOTAL'!J49</f>
        <v>Substituto</v>
      </c>
      <c r="J50" s="399">
        <f>'BANCO DADOS-CUSTO TOTAL'!Q49</f>
        <v>1602.86</v>
      </c>
      <c r="K50" s="539">
        <f>'BANCO DADOS-CUSTO TOTAL'!Z49</f>
        <v>0</v>
      </c>
      <c r="L50" s="100">
        <f>'BANCO DADOS-CUSTO TOTAL'!AA49</f>
        <v>10</v>
      </c>
      <c r="M50" s="383">
        <f t="shared" si="0"/>
        <v>534.28666666666663</v>
      </c>
      <c r="N50" s="101"/>
      <c r="O50" s="422">
        <v>0</v>
      </c>
      <c r="P50" s="356">
        <f>VLOOKUP(H50,PARAMETROS!E:AX,12,0)</f>
        <v>15.99</v>
      </c>
      <c r="Q50" s="426">
        <f t="shared" si="1"/>
        <v>0</v>
      </c>
      <c r="R50" s="426">
        <f t="shared" si="7"/>
        <v>0</v>
      </c>
      <c r="S50" s="426">
        <f t="shared" si="2"/>
        <v>0</v>
      </c>
      <c r="T50" s="356"/>
      <c r="U50" s="422">
        <f t="shared" si="8"/>
        <v>0</v>
      </c>
      <c r="V50" s="426">
        <f t="shared" si="3"/>
        <v>12.7</v>
      </c>
      <c r="W50" s="426">
        <f t="shared" si="4"/>
        <v>0</v>
      </c>
      <c r="X50" s="126">
        <f t="shared" si="5"/>
        <v>0</v>
      </c>
      <c r="Y50" s="427">
        <f t="shared" si="6"/>
        <v>0</v>
      </c>
      <c r="Z50" s="392"/>
      <c r="AA50" s="428"/>
      <c r="AB50" s="395"/>
      <c r="AC50" s="430"/>
      <c r="AD50" s="430"/>
      <c r="AE50" s="432"/>
      <c r="AF50" s="433"/>
      <c r="AG50" s="433"/>
    </row>
    <row r="51" spans="1:33" s="393" customFormat="1" ht="15.95" customHeight="1">
      <c r="A51" s="319">
        <f>'BANCO DADOS-CUSTO TOTAL'!A50</f>
        <v>1</v>
      </c>
      <c r="B51" s="319">
        <f>'BANCO DADOS-CUSTO TOTAL'!B50</f>
        <v>1</v>
      </c>
      <c r="C51" s="319" t="str">
        <f>'BANCO DADOS-CUSTO TOTAL'!C50</f>
        <v>Belo Horizonte</v>
      </c>
      <c r="D51" s="320">
        <f>'BANCO DADOS-CUSTO TOTAL'!F50</f>
        <v>33</v>
      </c>
      <c r="E51" s="100">
        <f>'BANCO DADOS-CUSTO TOTAL'!G50</f>
        <v>12373</v>
      </c>
      <c r="F51" s="100" t="str">
        <f>'BANCO DADOS-CUSTO TOTAL'!H50</f>
        <v>BELTRANO 12373</v>
      </c>
      <c r="G51" s="100" t="str">
        <f>'BANCO DADOS-CUSTO TOTAL'!I50</f>
        <v>VIGILANTE ARMADO - 12X36 NOTURNO</v>
      </c>
      <c r="H51" s="100" t="str">
        <f>'BANCO DADOS-CUSTO TOTAL'!K50</f>
        <v>Belo HorizonteVIGILANTE ARMADO - 12X36 NOTURNO</v>
      </c>
      <c r="I51" s="101" t="str">
        <f>'BANCO DADOS-CUSTO TOTAL'!J50</f>
        <v>Efetivo</v>
      </c>
      <c r="J51" s="399">
        <f>'BANCO DADOS-CUSTO TOTAL'!Q50</f>
        <v>1602.86</v>
      </c>
      <c r="K51" s="539">
        <f>'BANCO DADOS-CUSTO TOTAL'!Z50</f>
        <v>0</v>
      </c>
      <c r="L51" s="100">
        <f>'BANCO DADOS-CUSTO TOTAL'!AA50</f>
        <v>30</v>
      </c>
      <c r="M51" s="383">
        <f t="shared" si="0"/>
        <v>1602.86</v>
      </c>
      <c r="N51" s="101"/>
      <c r="O51" s="422">
        <f t="shared" si="9"/>
        <v>15.5</v>
      </c>
      <c r="P51" s="356">
        <f>VLOOKUP(H51,PARAMETROS!E:AX,12,0)</f>
        <v>15.99</v>
      </c>
      <c r="Q51" s="426">
        <f t="shared" si="1"/>
        <v>247.845</v>
      </c>
      <c r="R51" s="426">
        <f t="shared" si="7"/>
        <v>24.784500000000001</v>
      </c>
      <c r="S51" s="426">
        <f t="shared" si="2"/>
        <v>223.06049999999999</v>
      </c>
      <c r="T51" s="356"/>
      <c r="U51" s="422">
        <f t="shared" si="8"/>
        <v>15.5</v>
      </c>
      <c r="V51" s="426">
        <f t="shared" si="3"/>
        <v>12.7</v>
      </c>
      <c r="W51" s="426">
        <f t="shared" si="4"/>
        <v>196.85</v>
      </c>
      <c r="X51" s="126">
        <f t="shared" si="5"/>
        <v>96.171599999999998</v>
      </c>
      <c r="Y51" s="427">
        <f t="shared" si="6"/>
        <v>100.6784</v>
      </c>
      <c r="Z51" s="392"/>
      <c r="AA51" s="428"/>
      <c r="AB51" s="395"/>
      <c r="AC51" s="430"/>
      <c r="AD51" s="430"/>
      <c r="AE51" s="432"/>
      <c r="AF51" s="433"/>
      <c r="AG51" s="433"/>
    </row>
    <row r="52" spans="1:33" s="393" customFormat="1" ht="15.95" customHeight="1">
      <c r="A52" s="319">
        <f>'BANCO DADOS-CUSTO TOTAL'!A51</f>
        <v>1</v>
      </c>
      <c r="B52" s="319">
        <f>'BANCO DADOS-CUSTO TOTAL'!B51</f>
        <v>1</v>
      </c>
      <c r="C52" s="319" t="str">
        <f>'BANCO DADOS-CUSTO TOTAL'!C51</f>
        <v>Belo Horizonte</v>
      </c>
      <c r="D52" s="320">
        <f>'BANCO DADOS-CUSTO TOTAL'!F51</f>
        <v>34</v>
      </c>
      <c r="E52" s="100">
        <f>'BANCO DADOS-CUSTO TOTAL'!G51</f>
        <v>12374</v>
      </c>
      <c r="F52" s="100" t="str">
        <f>'BANCO DADOS-CUSTO TOTAL'!H51</f>
        <v>BELTRANO 12374</v>
      </c>
      <c r="G52" s="100" t="str">
        <f>'BANCO DADOS-CUSTO TOTAL'!I51</f>
        <v>VIGILANTE ARMADO - 12X36 NOTURNO</v>
      </c>
      <c r="H52" s="100" t="str">
        <f>'BANCO DADOS-CUSTO TOTAL'!K51</f>
        <v>Belo HorizonteVIGILANTE ARMADO - 12X36 NOTURNO</v>
      </c>
      <c r="I52" s="101" t="str">
        <f>'BANCO DADOS-CUSTO TOTAL'!J51</f>
        <v>Efetivo</v>
      </c>
      <c r="J52" s="399">
        <f>'BANCO DADOS-CUSTO TOTAL'!Q51</f>
        <v>1602.86</v>
      </c>
      <c r="K52" s="539">
        <f>'BANCO DADOS-CUSTO TOTAL'!Z51</f>
        <v>0</v>
      </c>
      <c r="L52" s="100">
        <f>'BANCO DADOS-CUSTO TOTAL'!AA51</f>
        <v>30</v>
      </c>
      <c r="M52" s="383">
        <f t="shared" si="0"/>
        <v>1602.86</v>
      </c>
      <c r="N52" s="101"/>
      <c r="O52" s="422">
        <f t="shared" si="9"/>
        <v>15.5</v>
      </c>
      <c r="P52" s="356">
        <f>VLOOKUP(H52,PARAMETROS!E:AX,12,0)</f>
        <v>15.99</v>
      </c>
      <c r="Q52" s="426">
        <f t="shared" si="1"/>
        <v>247.845</v>
      </c>
      <c r="R52" s="426">
        <f t="shared" si="7"/>
        <v>24.784500000000001</v>
      </c>
      <c r="S52" s="426">
        <f t="shared" si="2"/>
        <v>223.06049999999999</v>
      </c>
      <c r="T52" s="356"/>
      <c r="U52" s="422">
        <f t="shared" si="8"/>
        <v>15.5</v>
      </c>
      <c r="V52" s="426">
        <f t="shared" si="3"/>
        <v>12.7</v>
      </c>
      <c r="W52" s="426">
        <f t="shared" si="4"/>
        <v>196.85</v>
      </c>
      <c r="X52" s="126">
        <f t="shared" si="5"/>
        <v>96.171599999999998</v>
      </c>
      <c r="Y52" s="427">
        <f t="shared" si="6"/>
        <v>100.6784</v>
      </c>
      <c r="Z52" s="392"/>
      <c r="AA52" s="428"/>
      <c r="AB52" s="395"/>
      <c r="AC52" s="430"/>
      <c r="AD52" s="430"/>
      <c r="AE52" s="432"/>
      <c r="AF52" s="433"/>
      <c r="AG52" s="433"/>
    </row>
    <row r="53" spans="1:33" s="393" customFormat="1" ht="15.95" customHeight="1">
      <c r="A53" s="319">
        <f>'BANCO DADOS-CUSTO TOTAL'!A52</f>
        <v>1</v>
      </c>
      <c r="B53" s="319">
        <f>'BANCO DADOS-CUSTO TOTAL'!B52</f>
        <v>1</v>
      </c>
      <c r="C53" s="319" t="str">
        <f>'BANCO DADOS-CUSTO TOTAL'!C52</f>
        <v>Belo Horizonte</v>
      </c>
      <c r="D53" s="320">
        <f>'BANCO DADOS-CUSTO TOTAL'!F52</f>
        <v>35</v>
      </c>
      <c r="E53" s="100">
        <f>'BANCO DADOS-CUSTO TOTAL'!G52</f>
        <v>12375</v>
      </c>
      <c r="F53" s="100" t="str">
        <f>'BANCO DADOS-CUSTO TOTAL'!H52</f>
        <v>BELTRANO 12375</v>
      </c>
      <c r="G53" s="100" t="str">
        <f>'BANCO DADOS-CUSTO TOTAL'!I52</f>
        <v>VIGILANTE ARMADO - 12X36 NOTURNO</v>
      </c>
      <c r="H53" s="100" t="str">
        <f>'BANCO DADOS-CUSTO TOTAL'!K52</f>
        <v>Belo HorizonteVIGILANTE ARMADO - 12X36 NOTURNO</v>
      </c>
      <c r="I53" s="101" t="str">
        <f>'BANCO DADOS-CUSTO TOTAL'!J52</f>
        <v>Efetivo</v>
      </c>
      <c r="J53" s="399">
        <f>'BANCO DADOS-CUSTO TOTAL'!Q52</f>
        <v>1602.86</v>
      </c>
      <c r="K53" s="539">
        <f>'BANCO DADOS-CUSTO TOTAL'!Z52</f>
        <v>0</v>
      </c>
      <c r="L53" s="100">
        <f>'BANCO DADOS-CUSTO TOTAL'!AA52</f>
        <v>30</v>
      </c>
      <c r="M53" s="383">
        <f t="shared" si="0"/>
        <v>1602.86</v>
      </c>
      <c r="N53" s="101"/>
      <c r="O53" s="422">
        <f t="shared" si="9"/>
        <v>15.5</v>
      </c>
      <c r="P53" s="356">
        <f>VLOOKUP(H53,PARAMETROS!E:AX,12,0)</f>
        <v>15.99</v>
      </c>
      <c r="Q53" s="426">
        <f t="shared" si="1"/>
        <v>247.845</v>
      </c>
      <c r="R53" s="426">
        <f t="shared" si="7"/>
        <v>24.784500000000001</v>
      </c>
      <c r="S53" s="426">
        <f t="shared" si="2"/>
        <v>223.06049999999999</v>
      </c>
      <c r="T53" s="356"/>
      <c r="U53" s="422">
        <f t="shared" si="8"/>
        <v>15.5</v>
      </c>
      <c r="V53" s="426">
        <f t="shared" si="3"/>
        <v>12.7</v>
      </c>
      <c r="W53" s="426">
        <f t="shared" si="4"/>
        <v>196.85</v>
      </c>
      <c r="X53" s="126">
        <f t="shared" si="5"/>
        <v>96.171599999999998</v>
      </c>
      <c r="Y53" s="427">
        <f t="shared" si="6"/>
        <v>100.6784</v>
      </c>
      <c r="Z53" s="392"/>
      <c r="AA53" s="428"/>
      <c r="AB53" s="395"/>
      <c r="AC53" s="430"/>
      <c r="AD53" s="430"/>
      <c r="AE53" s="432"/>
      <c r="AF53" s="433"/>
      <c r="AG53" s="433"/>
    </row>
    <row r="54" spans="1:33" s="393" customFormat="1" ht="15.95" customHeight="1">
      <c r="A54" s="319">
        <f>'BANCO DADOS-CUSTO TOTAL'!A53</f>
        <v>1</v>
      </c>
      <c r="B54" s="319">
        <f>'BANCO DADOS-CUSTO TOTAL'!B53</f>
        <v>1</v>
      </c>
      <c r="C54" s="319" t="str">
        <f>'BANCO DADOS-CUSTO TOTAL'!C53</f>
        <v>Belo Horizonte</v>
      </c>
      <c r="D54" s="320">
        <f>'BANCO DADOS-CUSTO TOTAL'!F53</f>
        <v>36</v>
      </c>
      <c r="E54" s="100">
        <f>'BANCO DADOS-CUSTO TOTAL'!G53</f>
        <v>12376</v>
      </c>
      <c r="F54" s="100" t="str">
        <f>'BANCO DADOS-CUSTO TOTAL'!H53</f>
        <v>BELTRANO 12376</v>
      </c>
      <c r="G54" s="100" t="str">
        <f>'BANCO DADOS-CUSTO TOTAL'!I53</f>
        <v>VIGILANTE ARMADO - 12X36 NOTURNO</v>
      </c>
      <c r="H54" s="100" t="str">
        <f>'BANCO DADOS-CUSTO TOTAL'!K53</f>
        <v>Belo HorizonteVIGILANTE ARMADO - 12X36 NOTURNO</v>
      </c>
      <c r="I54" s="101" t="str">
        <f>'BANCO DADOS-CUSTO TOTAL'!J53</f>
        <v>Efetivo</v>
      </c>
      <c r="J54" s="399">
        <f>'BANCO DADOS-CUSTO TOTAL'!Q53</f>
        <v>1602.86</v>
      </c>
      <c r="K54" s="539">
        <f>'BANCO DADOS-CUSTO TOTAL'!Z53</f>
        <v>0</v>
      </c>
      <c r="L54" s="100">
        <f>'BANCO DADOS-CUSTO TOTAL'!AA53</f>
        <v>30</v>
      </c>
      <c r="M54" s="383">
        <f t="shared" si="0"/>
        <v>1602.86</v>
      </c>
      <c r="N54" s="101"/>
      <c r="O54" s="422">
        <f t="shared" si="9"/>
        <v>15.5</v>
      </c>
      <c r="P54" s="356">
        <f>VLOOKUP(H54,PARAMETROS!E:AX,12,0)</f>
        <v>15.99</v>
      </c>
      <c r="Q54" s="426">
        <f t="shared" si="1"/>
        <v>247.845</v>
      </c>
      <c r="R54" s="426">
        <f t="shared" si="7"/>
        <v>24.784500000000001</v>
      </c>
      <c r="S54" s="426">
        <f t="shared" si="2"/>
        <v>223.06049999999999</v>
      </c>
      <c r="T54" s="356"/>
      <c r="U54" s="422">
        <f t="shared" si="8"/>
        <v>15.5</v>
      </c>
      <c r="V54" s="426">
        <f t="shared" si="3"/>
        <v>12.7</v>
      </c>
      <c r="W54" s="426">
        <f t="shared" si="4"/>
        <v>196.85</v>
      </c>
      <c r="X54" s="126">
        <f t="shared" si="5"/>
        <v>96.171599999999998</v>
      </c>
      <c r="Y54" s="427">
        <f t="shared" si="6"/>
        <v>100.6784</v>
      </c>
      <c r="Z54" s="392"/>
      <c r="AA54" s="428"/>
      <c r="AB54" s="395"/>
      <c r="AC54" s="430"/>
      <c r="AD54" s="430"/>
      <c r="AE54" s="432"/>
      <c r="AF54" s="433"/>
      <c r="AG54" s="433"/>
    </row>
    <row r="55" spans="1:33" s="393" customFormat="1" ht="15.95" customHeight="1">
      <c r="A55" s="319">
        <f>'BANCO DADOS-CUSTO TOTAL'!A54</f>
        <v>1</v>
      </c>
      <c r="B55" s="319">
        <f>'BANCO DADOS-CUSTO TOTAL'!B54</f>
        <v>1</v>
      </c>
      <c r="C55" s="319" t="str">
        <f>'BANCO DADOS-CUSTO TOTAL'!C54</f>
        <v>Belo Horizonte</v>
      </c>
      <c r="D55" s="320">
        <f>'BANCO DADOS-CUSTO TOTAL'!F54</f>
        <v>37</v>
      </c>
      <c r="E55" s="100">
        <f>'BANCO DADOS-CUSTO TOTAL'!G54</f>
        <v>12377</v>
      </c>
      <c r="F55" s="100" t="str">
        <f>'BANCO DADOS-CUSTO TOTAL'!H54</f>
        <v>BELTRANO 12377</v>
      </c>
      <c r="G55" s="100" t="str">
        <f>'BANCO DADOS-CUSTO TOTAL'!I54</f>
        <v>VIGILANTE ARMADO - 12X36 NOTURNO</v>
      </c>
      <c r="H55" s="100" t="str">
        <f>'BANCO DADOS-CUSTO TOTAL'!K54</f>
        <v>Belo HorizonteVIGILANTE ARMADO - 12X36 NOTURNO</v>
      </c>
      <c r="I55" s="101" t="str">
        <f>'BANCO DADOS-CUSTO TOTAL'!J54</f>
        <v>Efetivo</v>
      </c>
      <c r="J55" s="399">
        <f>'BANCO DADOS-CUSTO TOTAL'!Q54</f>
        <v>1602.86</v>
      </c>
      <c r="K55" s="539">
        <f>'BANCO DADOS-CUSTO TOTAL'!Z54</f>
        <v>0</v>
      </c>
      <c r="L55" s="100">
        <f>'BANCO DADOS-CUSTO TOTAL'!AA54</f>
        <v>30</v>
      </c>
      <c r="M55" s="383">
        <f t="shared" si="0"/>
        <v>1602.86</v>
      </c>
      <c r="N55" s="101"/>
      <c r="O55" s="422">
        <f t="shared" si="9"/>
        <v>15.5</v>
      </c>
      <c r="P55" s="356">
        <f>VLOOKUP(H55,PARAMETROS!E:AX,12,0)</f>
        <v>15.99</v>
      </c>
      <c r="Q55" s="426">
        <f t="shared" si="1"/>
        <v>247.845</v>
      </c>
      <c r="R55" s="426">
        <f t="shared" si="7"/>
        <v>24.784500000000001</v>
      </c>
      <c r="S55" s="426">
        <f t="shared" si="2"/>
        <v>223.06049999999999</v>
      </c>
      <c r="T55" s="356"/>
      <c r="U55" s="422">
        <f t="shared" si="8"/>
        <v>15.5</v>
      </c>
      <c r="V55" s="426">
        <f t="shared" si="3"/>
        <v>12.7</v>
      </c>
      <c r="W55" s="426">
        <f t="shared" si="4"/>
        <v>196.85</v>
      </c>
      <c r="X55" s="126">
        <f t="shared" si="5"/>
        <v>96.171599999999998</v>
      </c>
      <c r="Y55" s="427">
        <f t="shared" si="6"/>
        <v>100.6784</v>
      </c>
      <c r="Z55" s="392"/>
      <c r="AA55" s="428"/>
      <c r="AB55" s="395"/>
      <c r="AC55" s="430"/>
      <c r="AD55" s="430"/>
      <c r="AE55" s="432"/>
      <c r="AF55" s="433"/>
      <c r="AG55" s="433"/>
    </row>
    <row r="56" spans="1:33" s="393" customFormat="1" ht="15.95" customHeight="1">
      <c r="A56" s="319">
        <f>'BANCO DADOS-CUSTO TOTAL'!A55</f>
        <v>1</v>
      </c>
      <c r="B56" s="319">
        <f>'BANCO DADOS-CUSTO TOTAL'!B55</f>
        <v>1</v>
      </c>
      <c r="C56" s="319" t="str">
        <f>'BANCO DADOS-CUSTO TOTAL'!C55</f>
        <v>Belo Horizonte</v>
      </c>
      <c r="D56" s="320">
        <f>'BANCO DADOS-CUSTO TOTAL'!F55</f>
        <v>256</v>
      </c>
      <c r="E56" s="100">
        <f>'BANCO DADOS-CUSTO TOTAL'!G55</f>
        <v>124256</v>
      </c>
      <c r="F56" s="100" t="str">
        <f>'BANCO DADOS-CUSTO TOTAL'!H55</f>
        <v>BELTRANO 124256</v>
      </c>
      <c r="G56" s="100" t="str">
        <f>'BANCO DADOS-CUSTO TOTAL'!I55</f>
        <v>VIGILANTE ARMADO - 12X36 NOTURNO</v>
      </c>
      <c r="H56" s="100" t="str">
        <f>'BANCO DADOS-CUSTO TOTAL'!K55</f>
        <v>Belo HorizonteVIGILANTE ARMADO - 12X36 NOTURNO</v>
      </c>
      <c r="I56" s="101" t="str">
        <f>'BANCO DADOS-CUSTO TOTAL'!J55</f>
        <v>Efetivo</v>
      </c>
      <c r="J56" s="399">
        <f>'BANCO DADOS-CUSTO TOTAL'!Q55</f>
        <v>1602.86</v>
      </c>
      <c r="K56" s="539">
        <f>'BANCO DADOS-CUSTO TOTAL'!Z55</f>
        <v>0</v>
      </c>
      <c r="L56" s="100">
        <f>'BANCO DADOS-CUSTO TOTAL'!AA55</f>
        <v>11</v>
      </c>
      <c r="M56" s="383">
        <f t="shared" si="0"/>
        <v>587.71533333333332</v>
      </c>
      <c r="N56" s="101"/>
      <c r="O56" s="422">
        <v>6</v>
      </c>
      <c r="P56" s="356">
        <f>VLOOKUP(H56,PARAMETROS!E:AX,12,0)</f>
        <v>15.99</v>
      </c>
      <c r="Q56" s="426">
        <f t="shared" si="1"/>
        <v>95.94</v>
      </c>
      <c r="R56" s="426">
        <f t="shared" si="7"/>
        <v>9.5940000000000012</v>
      </c>
      <c r="S56" s="426">
        <f t="shared" si="2"/>
        <v>86.346000000000004</v>
      </c>
      <c r="T56" s="356"/>
      <c r="U56" s="422">
        <f t="shared" si="8"/>
        <v>6</v>
      </c>
      <c r="V56" s="426">
        <f t="shared" si="3"/>
        <v>12.7</v>
      </c>
      <c r="W56" s="426">
        <f t="shared" si="4"/>
        <v>76.199999999999989</v>
      </c>
      <c r="X56" s="126">
        <f t="shared" si="5"/>
        <v>35.262920000000001</v>
      </c>
      <c r="Y56" s="427">
        <f t="shared" si="6"/>
        <v>40.937079999999987</v>
      </c>
      <c r="Z56" s="392"/>
      <c r="AA56" s="428"/>
      <c r="AB56" s="395"/>
      <c r="AC56" s="430"/>
      <c r="AD56" s="430"/>
      <c r="AE56" s="432"/>
      <c r="AF56" s="433"/>
      <c r="AG56" s="433"/>
    </row>
    <row r="57" spans="1:33" s="393" customFormat="1" ht="15.95" customHeight="1">
      <c r="A57" s="319">
        <f>'BANCO DADOS-CUSTO TOTAL'!A56</f>
        <v>1</v>
      </c>
      <c r="B57" s="319">
        <f>'BANCO DADOS-CUSTO TOTAL'!B56</f>
        <v>1</v>
      </c>
      <c r="C57" s="319" t="str">
        <f>'BANCO DADOS-CUSTO TOTAL'!C56</f>
        <v>Belo Horizonte</v>
      </c>
      <c r="D57" s="320">
        <f>'BANCO DADOS-CUSTO TOTAL'!F56</f>
        <v>38</v>
      </c>
      <c r="E57" s="100">
        <f>'BANCO DADOS-CUSTO TOTAL'!G56</f>
        <v>12378</v>
      </c>
      <c r="F57" s="100" t="str">
        <f>'BANCO DADOS-CUSTO TOTAL'!H56</f>
        <v>BELTRANO 12378</v>
      </c>
      <c r="G57" s="100" t="str">
        <f>'BANCO DADOS-CUSTO TOTAL'!I56</f>
        <v>VIGILANTE ARMADO - 12X36 NOTURNO</v>
      </c>
      <c r="H57" s="100" t="str">
        <f>'BANCO DADOS-CUSTO TOTAL'!K56</f>
        <v>Belo HorizonteVIGILANTE ARMADO - 12X36 NOTURNO</v>
      </c>
      <c r="I57" s="101" t="str">
        <f>'BANCO DADOS-CUSTO TOTAL'!J56</f>
        <v>Efetivo</v>
      </c>
      <c r="J57" s="399">
        <f>'BANCO DADOS-CUSTO TOTAL'!Q56</f>
        <v>1602.86</v>
      </c>
      <c r="K57" s="539">
        <f>'BANCO DADOS-CUSTO TOTAL'!Z56</f>
        <v>0</v>
      </c>
      <c r="L57" s="100">
        <f>'BANCO DADOS-CUSTO TOTAL'!AA56</f>
        <v>30</v>
      </c>
      <c r="M57" s="383">
        <f t="shared" si="0"/>
        <v>1602.86</v>
      </c>
      <c r="N57" s="101"/>
      <c r="O57" s="422">
        <f t="shared" si="9"/>
        <v>15.5</v>
      </c>
      <c r="P57" s="356">
        <f>VLOOKUP(H57,PARAMETROS!E:AX,12,0)</f>
        <v>15.99</v>
      </c>
      <c r="Q57" s="426">
        <f t="shared" si="1"/>
        <v>247.845</v>
      </c>
      <c r="R57" s="426">
        <f t="shared" si="7"/>
        <v>24.784500000000001</v>
      </c>
      <c r="S57" s="426">
        <f t="shared" si="2"/>
        <v>223.06049999999999</v>
      </c>
      <c r="T57" s="356"/>
      <c r="U57" s="422">
        <f t="shared" si="8"/>
        <v>15.5</v>
      </c>
      <c r="V57" s="426">
        <f t="shared" si="3"/>
        <v>12.7</v>
      </c>
      <c r="W57" s="426">
        <f t="shared" si="4"/>
        <v>196.85</v>
      </c>
      <c r="X57" s="126">
        <f t="shared" si="5"/>
        <v>96.171599999999998</v>
      </c>
      <c r="Y57" s="427">
        <f t="shared" si="6"/>
        <v>100.6784</v>
      </c>
      <c r="Z57" s="392"/>
      <c r="AA57" s="428"/>
      <c r="AB57" s="395"/>
      <c r="AC57" s="430"/>
      <c r="AD57" s="430"/>
      <c r="AE57" s="432"/>
      <c r="AF57" s="433"/>
      <c r="AG57" s="433"/>
    </row>
    <row r="58" spans="1:33" s="393" customFormat="1" ht="15.95" customHeight="1">
      <c r="A58" s="319">
        <f>'BANCO DADOS-CUSTO TOTAL'!A57</f>
        <v>1</v>
      </c>
      <c r="B58" s="319">
        <f>'BANCO DADOS-CUSTO TOTAL'!B57</f>
        <v>1</v>
      </c>
      <c r="C58" s="319" t="str">
        <f>'BANCO DADOS-CUSTO TOTAL'!C57</f>
        <v>Belo Horizonte</v>
      </c>
      <c r="D58" s="320">
        <f>'BANCO DADOS-CUSTO TOTAL'!F57</f>
        <v>39</v>
      </c>
      <c r="E58" s="100">
        <f>'BANCO DADOS-CUSTO TOTAL'!G57</f>
        <v>12379</v>
      </c>
      <c r="F58" s="100" t="str">
        <f>'BANCO DADOS-CUSTO TOTAL'!H57</f>
        <v>BELTRANO 12379</v>
      </c>
      <c r="G58" s="100" t="str">
        <f>'BANCO DADOS-CUSTO TOTAL'!I57</f>
        <v>VIGILANTE ARMADO - 12X36 NOTURNO</v>
      </c>
      <c r="H58" s="100" t="str">
        <f>'BANCO DADOS-CUSTO TOTAL'!K57</f>
        <v>Belo HorizonteVIGILANTE ARMADO - 12X36 NOTURNO</v>
      </c>
      <c r="I58" s="101" t="str">
        <f>'BANCO DADOS-CUSTO TOTAL'!J57</f>
        <v>Efetivo</v>
      </c>
      <c r="J58" s="399">
        <f>'BANCO DADOS-CUSTO TOTAL'!Q57</f>
        <v>1602.86</v>
      </c>
      <c r="K58" s="539">
        <f>'BANCO DADOS-CUSTO TOTAL'!Z57</f>
        <v>0</v>
      </c>
      <c r="L58" s="100">
        <f>'BANCO DADOS-CUSTO TOTAL'!AA57</f>
        <v>30</v>
      </c>
      <c r="M58" s="383">
        <f t="shared" si="0"/>
        <v>1602.86</v>
      </c>
      <c r="N58" s="101"/>
      <c r="O58" s="422">
        <f t="shared" si="9"/>
        <v>15.5</v>
      </c>
      <c r="P58" s="356">
        <f>VLOOKUP(H58,PARAMETROS!E:AX,12,0)</f>
        <v>15.99</v>
      </c>
      <c r="Q58" s="426">
        <f t="shared" si="1"/>
        <v>247.845</v>
      </c>
      <c r="R58" s="426">
        <f t="shared" si="7"/>
        <v>24.784500000000001</v>
      </c>
      <c r="S58" s="426">
        <f t="shared" si="2"/>
        <v>223.06049999999999</v>
      </c>
      <c r="T58" s="356"/>
      <c r="U58" s="422">
        <f t="shared" si="8"/>
        <v>15.5</v>
      </c>
      <c r="V58" s="426">
        <f t="shared" si="3"/>
        <v>12.7</v>
      </c>
      <c r="W58" s="426">
        <f t="shared" si="4"/>
        <v>196.85</v>
      </c>
      <c r="X58" s="126">
        <f t="shared" si="5"/>
        <v>96.171599999999998</v>
      </c>
      <c r="Y58" s="427">
        <f t="shared" si="6"/>
        <v>100.6784</v>
      </c>
      <c r="Z58" s="392"/>
      <c r="AA58" s="428"/>
      <c r="AB58" s="395"/>
      <c r="AC58" s="430"/>
      <c r="AD58" s="430"/>
      <c r="AE58" s="432"/>
      <c r="AF58" s="433"/>
      <c r="AG58" s="433"/>
    </row>
    <row r="59" spans="1:33" s="393" customFormat="1" ht="15.95" customHeight="1">
      <c r="A59" s="319">
        <f>'BANCO DADOS-CUSTO TOTAL'!A58</f>
        <v>1</v>
      </c>
      <c r="B59" s="319">
        <f>'BANCO DADOS-CUSTO TOTAL'!B58</f>
        <v>1</v>
      </c>
      <c r="C59" s="319" t="str">
        <f>'BANCO DADOS-CUSTO TOTAL'!C58</f>
        <v>Belo Horizonte</v>
      </c>
      <c r="D59" s="320">
        <f>'BANCO DADOS-CUSTO TOTAL'!F58</f>
        <v>40</v>
      </c>
      <c r="E59" s="100">
        <f>'BANCO DADOS-CUSTO TOTAL'!G58</f>
        <v>12380</v>
      </c>
      <c r="F59" s="100" t="str">
        <f>'BANCO DADOS-CUSTO TOTAL'!H58</f>
        <v>BELTRANO 12380</v>
      </c>
      <c r="G59" s="100" t="str">
        <f>'BANCO DADOS-CUSTO TOTAL'!I58</f>
        <v>VIGILANTE ARMADO - 12X36 NOTURNO</v>
      </c>
      <c r="H59" s="100" t="str">
        <f>'BANCO DADOS-CUSTO TOTAL'!K58</f>
        <v>Belo HorizonteVIGILANTE ARMADO - 12X36 NOTURNO</v>
      </c>
      <c r="I59" s="101" t="str">
        <f>'BANCO DADOS-CUSTO TOTAL'!J58</f>
        <v>Efetivo</v>
      </c>
      <c r="J59" s="399">
        <f>'BANCO DADOS-CUSTO TOTAL'!Q58</f>
        <v>1602.86</v>
      </c>
      <c r="K59" s="539">
        <f>'BANCO DADOS-CUSTO TOTAL'!Z58</f>
        <v>0</v>
      </c>
      <c r="L59" s="100">
        <f>'BANCO DADOS-CUSTO TOTAL'!AA58</f>
        <v>30</v>
      </c>
      <c r="M59" s="383">
        <f t="shared" si="0"/>
        <v>1602.86</v>
      </c>
      <c r="N59" s="101"/>
      <c r="O59" s="422">
        <f t="shared" si="9"/>
        <v>15.5</v>
      </c>
      <c r="P59" s="356">
        <f>VLOOKUP(H59,PARAMETROS!E:AX,12,0)</f>
        <v>15.99</v>
      </c>
      <c r="Q59" s="426">
        <f t="shared" si="1"/>
        <v>247.845</v>
      </c>
      <c r="R59" s="426">
        <f t="shared" si="7"/>
        <v>24.784500000000001</v>
      </c>
      <c r="S59" s="426">
        <f t="shared" si="2"/>
        <v>223.06049999999999</v>
      </c>
      <c r="T59" s="356"/>
      <c r="U59" s="422">
        <f t="shared" si="8"/>
        <v>15.5</v>
      </c>
      <c r="V59" s="426">
        <f t="shared" si="3"/>
        <v>12.7</v>
      </c>
      <c r="W59" s="426">
        <f t="shared" si="4"/>
        <v>196.85</v>
      </c>
      <c r="X59" s="126">
        <f t="shared" si="5"/>
        <v>96.171599999999998</v>
      </c>
      <c r="Y59" s="427">
        <f t="shared" si="6"/>
        <v>100.6784</v>
      </c>
      <c r="Z59" s="392"/>
      <c r="AA59" s="428"/>
      <c r="AB59" s="395"/>
      <c r="AC59" s="430"/>
      <c r="AD59" s="430"/>
      <c r="AE59" s="432"/>
      <c r="AF59" s="433"/>
      <c r="AG59" s="433"/>
    </row>
    <row r="60" spans="1:33" s="393" customFormat="1" ht="15.95" customHeight="1">
      <c r="A60" s="319">
        <f>'BANCO DADOS-CUSTO TOTAL'!A59</f>
        <v>1</v>
      </c>
      <c r="B60" s="319">
        <f>'BANCO DADOS-CUSTO TOTAL'!B59</f>
        <v>1</v>
      </c>
      <c r="C60" s="319" t="str">
        <f>'BANCO DADOS-CUSTO TOTAL'!C59</f>
        <v>Belo Horizonte</v>
      </c>
      <c r="D60" s="320">
        <f>'BANCO DADOS-CUSTO TOTAL'!F59</f>
        <v>41</v>
      </c>
      <c r="E60" s="100">
        <f>'BANCO DADOS-CUSTO TOTAL'!G59</f>
        <v>12381</v>
      </c>
      <c r="F60" s="100" t="str">
        <f>'BANCO DADOS-CUSTO TOTAL'!H59</f>
        <v>BELTRANO 12381</v>
      </c>
      <c r="G60" s="100" t="str">
        <f>'BANCO DADOS-CUSTO TOTAL'!I59</f>
        <v>VIGILANTE ARMADO - 12X36 NOTURNO</v>
      </c>
      <c r="H60" s="100" t="str">
        <f>'BANCO DADOS-CUSTO TOTAL'!K59</f>
        <v>Belo HorizonteVIGILANTE ARMADO - 12X36 NOTURNO</v>
      </c>
      <c r="I60" s="101" t="str">
        <f>'BANCO DADOS-CUSTO TOTAL'!J59</f>
        <v>Efetivo</v>
      </c>
      <c r="J60" s="399">
        <f>'BANCO DADOS-CUSTO TOTAL'!Q59</f>
        <v>1602.86</v>
      </c>
      <c r="K60" s="539">
        <f>'BANCO DADOS-CUSTO TOTAL'!Z59</f>
        <v>0</v>
      </c>
      <c r="L60" s="100">
        <f>'BANCO DADOS-CUSTO TOTAL'!AA59</f>
        <v>30</v>
      </c>
      <c r="M60" s="383">
        <f t="shared" si="0"/>
        <v>1602.86</v>
      </c>
      <c r="N60" s="101"/>
      <c r="O60" s="422">
        <f t="shared" si="9"/>
        <v>15.5</v>
      </c>
      <c r="P60" s="356">
        <f>VLOOKUP(H60,PARAMETROS!E:AX,12,0)</f>
        <v>15.99</v>
      </c>
      <c r="Q60" s="426">
        <f t="shared" si="1"/>
        <v>247.845</v>
      </c>
      <c r="R60" s="426">
        <f t="shared" si="7"/>
        <v>24.784500000000001</v>
      </c>
      <c r="S60" s="426">
        <f t="shared" si="2"/>
        <v>223.06049999999999</v>
      </c>
      <c r="T60" s="356"/>
      <c r="U60" s="422">
        <f t="shared" si="8"/>
        <v>15.5</v>
      </c>
      <c r="V60" s="426">
        <f t="shared" si="3"/>
        <v>12.7</v>
      </c>
      <c r="W60" s="426">
        <f t="shared" si="4"/>
        <v>196.85</v>
      </c>
      <c r="X60" s="126">
        <f t="shared" si="5"/>
        <v>96.171599999999998</v>
      </c>
      <c r="Y60" s="427">
        <f t="shared" si="6"/>
        <v>100.6784</v>
      </c>
      <c r="Z60" s="392"/>
      <c r="AA60" s="428"/>
      <c r="AB60" s="395"/>
      <c r="AC60" s="430"/>
      <c r="AD60" s="430"/>
      <c r="AE60" s="432"/>
      <c r="AF60" s="433"/>
      <c r="AG60" s="433"/>
    </row>
    <row r="61" spans="1:33" s="554" customFormat="1" ht="15.95" customHeight="1">
      <c r="A61" s="540"/>
      <c r="B61" s="540"/>
      <c r="C61" s="540" t="str">
        <f>'BANCO DADOS-CUSTO TOTAL'!C60</f>
        <v>TOTAL BELO HORIZONTE</v>
      </c>
      <c r="D61" s="541"/>
      <c r="E61" s="542"/>
      <c r="F61" s="542"/>
      <c r="G61" s="542"/>
      <c r="H61" s="542"/>
      <c r="I61" s="543"/>
      <c r="J61" s="544"/>
      <c r="K61" s="545"/>
      <c r="L61" s="542"/>
      <c r="M61" s="460"/>
      <c r="N61" s="543"/>
      <c r="O61" s="546"/>
      <c r="P61" s="459"/>
      <c r="Q61" s="544"/>
      <c r="R61" s="544"/>
      <c r="S61" s="544"/>
      <c r="T61" s="459"/>
      <c r="U61" s="546"/>
      <c r="V61" s="544"/>
      <c r="W61" s="544"/>
      <c r="X61" s="461"/>
      <c r="Y61" s="547"/>
      <c r="Z61" s="548"/>
      <c r="AA61" s="549" t="s">
        <v>3830</v>
      </c>
      <c r="AB61" s="550"/>
      <c r="AC61" s="551"/>
      <c r="AD61" s="551"/>
      <c r="AE61" s="552"/>
      <c r="AF61" s="553"/>
      <c r="AG61" s="553"/>
    </row>
    <row r="62" spans="1:33" s="393" customFormat="1" ht="15.95" customHeight="1">
      <c r="A62" s="319">
        <f>'BANCO DADOS-CUSTO TOTAL'!A61</f>
        <v>1</v>
      </c>
      <c r="B62" s="319">
        <f>'BANCO DADOS-CUSTO TOTAL'!B61</f>
        <v>1</v>
      </c>
      <c r="C62" s="319" t="str">
        <f>'BANCO DADOS-CUSTO TOTAL'!C61</f>
        <v>Betim</v>
      </c>
      <c r="D62" s="320">
        <f>'BANCO DADOS-CUSTO TOTAL'!F61</f>
        <v>43</v>
      </c>
      <c r="E62" s="100">
        <f>'BANCO DADOS-CUSTO TOTAL'!G61</f>
        <v>12383</v>
      </c>
      <c r="F62" s="100" t="str">
        <f>'BANCO DADOS-CUSTO TOTAL'!H61</f>
        <v>BELTRANO 12383</v>
      </c>
      <c r="G62" s="100" t="str">
        <f>'BANCO DADOS-CUSTO TOTAL'!I61</f>
        <v>VIGILANTE ARMADO - 12X36 DIURNO</v>
      </c>
      <c r="H62" s="100" t="str">
        <f>'BANCO DADOS-CUSTO TOTAL'!K61</f>
        <v>BetimVIGILANTE ARMADO - 12X36 DIURNO</v>
      </c>
      <c r="I62" s="101" t="str">
        <f>'BANCO DADOS-CUSTO TOTAL'!J61</f>
        <v>Efetivo</v>
      </c>
      <c r="J62" s="399">
        <f>'BANCO DADOS-CUSTO TOTAL'!Q61</f>
        <v>1602.86</v>
      </c>
      <c r="K62" s="539">
        <f>'BANCO DADOS-CUSTO TOTAL'!Z61</f>
        <v>0</v>
      </c>
      <c r="L62" s="100">
        <f>'BANCO DADOS-CUSTO TOTAL'!AA61</f>
        <v>30</v>
      </c>
      <c r="M62" s="383">
        <f t="shared" si="0"/>
        <v>1602.86</v>
      </c>
      <c r="N62" s="101"/>
      <c r="O62" s="422">
        <f t="shared" si="9"/>
        <v>15.5</v>
      </c>
      <c r="P62" s="356">
        <f>VLOOKUP(H62,PARAMETROS!E:AX,12,0)</f>
        <v>15.99</v>
      </c>
      <c r="Q62" s="426">
        <f t="shared" si="1"/>
        <v>247.845</v>
      </c>
      <c r="R62" s="426">
        <f>Q62*10%</f>
        <v>24.784500000000001</v>
      </c>
      <c r="S62" s="426">
        <f t="shared" si="2"/>
        <v>223.06049999999999</v>
      </c>
      <c r="T62" s="356"/>
      <c r="U62" s="422">
        <f>O62</f>
        <v>15.5</v>
      </c>
      <c r="V62" s="426">
        <f t="shared" si="3"/>
        <v>7.4</v>
      </c>
      <c r="W62" s="426">
        <f t="shared" si="4"/>
        <v>114.7</v>
      </c>
      <c r="X62" s="126">
        <f t="shared" si="5"/>
        <v>96.171599999999998</v>
      </c>
      <c r="Y62" s="427">
        <f t="shared" si="6"/>
        <v>18.528400000000005</v>
      </c>
      <c r="Z62" s="392"/>
      <c r="AA62" s="428"/>
      <c r="AB62" s="395"/>
      <c r="AC62" s="430"/>
      <c r="AD62" s="430"/>
      <c r="AE62" s="432"/>
      <c r="AF62" s="433"/>
      <c r="AG62" s="433"/>
    </row>
    <row r="63" spans="1:33" s="393" customFormat="1" ht="15.95" customHeight="1">
      <c r="A63" s="319">
        <f>'BANCO DADOS-CUSTO TOTAL'!A62</f>
        <v>1</v>
      </c>
      <c r="B63" s="319">
        <f>'BANCO DADOS-CUSTO TOTAL'!B62</f>
        <v>1</v>
      </c>
      <c r="C63" s="319" t="str">
        <f>'BANCO DADOS-CUSTO TOTAL'!C62</f>
        <v>Betim</v>
      </c>
      <c r="D63" s="320">
        <f>'BANCO DADOS-CUSTO TOTAL'!F62</f>
        <v>44</v>
      </c>
      <c r="E63" s="100">
        <f>'BANCO DADOS-CUSTO TOTAL'!G62</f>
        <v>12384</v>
      </c>
      <c r="F63" s="100" t="str">
        <f>'BANCO DADOS-CUSTO TOTAL'!H62</f>
        <v>BELTRANO 12384</v>
      </c>
      <c r="G63" s="100" t="str">
        <f>'BANCO DADOS-CUSTO TOTAL'!I62</f>
        <v>VIGILANTE ARMADO - 12X36 DIURNO</v>
      </c>
      <c r="H63" s="100" t="str">
        <f>'BANCO DADOS-CUSTO TOTAL'!K62</f>
        <v>BetimVIGILANTE ARMADO - 12X36 DIURNO</v>
      </c>
      <c r="I63" s="101" t="str">
        <f>'BANCO DADOS-CUSTO TOTAL'!J62</f>
        <v>Efetivo</v>
      </c>
      <c r="J63" s="399">
        <f>'BANCO DADOS-CUSTO TOTAL'!Q62</f>
        <v>1602.86</v>
      </c>
      <c r="K63" s="539">
        <f>'BANCO DADOS-CUSTO TOTAL'!Z62</f>
        <v>0</v>
      </c>
      <c r="L63" s="100">
        <f>'BANCO DADOS-CUSTO TOTAL'!AA62</f>
        <v>30</v>
      </c>
      <c r="M63" s="383">
        <f t="shared" si="0"/>
        <v>1602.86</v>
      </c>
      <c r="N63" s="101"/>
      <c r="O63" s="422">
        <f t="shared" si="9"/>
        <v>15.5</v>
      </c>
      <c r="P63" s="356">
        <f>VLOOKUP(H63,PARAMETROS!E:AX,12,0)</f>
        <v>15.99</v>
      </c>
      <c r="Q63" s="426">
        <f t="shared" si="1"/>
        <v>247.845</v>
      </c>
      <c r="R63" s="426">
        <f>Q63*10%</f>
        <v>24.784500000000001</v>
      </c>
      <c r="S63" s="426">
        <f t="shared" si="2"/>
        <v>223.06049999999999</v>
      </c>
      <c r="T63" s="356"/>
      <c r="U63" s="422">
        <f>O63</f>
        <v>15.5</v>
      </c>
      <c r="V63" s="426">
        <f t="shared" si="3"/>
        <v>7.4</v>
      </c>
      <c r="W63" s="426">
        <f t="shared" si="4"/>
        <v>114.7</v>
      </c>
      <c r="X63" s="126">
        <f t="shared" si="5"/>
        <v>96.171599999999998</v>
      </c>
      <c r="Y63" s="427">
        <f t="shared" si="6"/>
        <v>18.528400000000005</v>
      </c>
      <c r="Z63" s="392"/>
      <c r="AA63" s="428"/>
      <c r="AB63" s="395"/>
      <c r="AC63" s="430"/>
      <c r="AD63" s="430"/>
      <c r="AE63" s="432"/>
      <c r="AF63" s="433"/>
      <c r="AG63" s="433"/>
    </row>
    <row r="64" spans="1:33" s="554" customFormat="1" ht="15.95" customHeight="1">
      <c r="A64" s="540"/>
      <c r="B64" s="540"/>
      <c r="C64" s="540" t="str">
        <f>'BANCO DADOS-CUSTO TOTAL'!C63</f>
        <v>TOTAL BETIM</v>
      </c>
      <c r="D64" s="541"/>
      <c r="E64" s="542"/>
      <c r="F64" s="542"/>
      <c r="G64" s="542"/>
      <c r="H64" s="542"/>
      <c r="I64" s="543"/>
      <c r="J64" s="544"/>
      <c r="K64" s="545"/>
      <c r="L64" s="542"/>
      <c r="M64" s="460"/>
      <c r="N64" s="543"/>
      <c r="O64" s="546"/>
      <c r="P64" s="459"/>
      <c r="Q64" s="544"/>
      <c r="R64" s="544"/>
      <c r="S64" s="544"/>
      <c r="T64" s="459"/>
      <c r="U64" s="546"/>
      <c r="V64" s="544"/>
      <c r="W64" s="544"/>
      <c r="X64" s="461"/>
      <c r="Y64" s="547"/>
      <c r="Z64" s="548"/>
      <c r="AA64" s="549" t="s">
        <v>3830</v>
      </c>
      <c r="AB64" s="550"/>
      <c r="AC64" s="551"/>
      <c r="AD64" s="551"/>
      <c r="AE64" s="552"/>
      <c r="AF64" s="553"/>
      <c r="AG64" s="553"/>
    </row>
    <row r="65" spans="1:33" s="393" customFormat="1" ht="15.95" customHeight="1">
      <c r="A65" s="319">
        <f>'BANCO DADOS-CUSTO TOTAL'!A64</f>
        <v>1</v>
      </c>
      <c r="B65" s="319">
        <f>'BANCO DADOS-CUSTO TOTAL'!B64</f>
        <v>1</v>
      </c>
      <c r="C65" s="319" t="str">
        <f>'BANCO DADOS-CUSTO TOTAL'!C64</f>
        <v>Caeté</v>
      </c>
      <c r="D65" s="320">
        <f>'BANCO DADOS-CUSTO TOTAL'!F64</f>
        <v>45</v>
      </c>
      <c r="E65" s="100">
        <f>'BANCO DADOS-CUSTO TOTAL'!G64</f>
        <v>12385</v>
      </c>
      <c r="F65" s="100" t="str">
        <f>'BANCO DADOS-CUSTO TOTAL'!H64</f>
        <v>BELTRANO 12385</v>
      </c>
      <c r="G65" s="100" t="str">
        <f>'BANCO DADOS-CUSTO TOTAL'!I64</f>
        <v>VIGILANTE ARMADO - 220 H</v>
      </c>
      <c r="H65" s="100" t="str">
        <f>'BANCO DADOS-CUSTO TOTAL'!K64</f>
        <v>CaetéVIGILANTE ARMADO - 220 H</v>
      </c>
      <c r="I65" s="101" t="str">
        <f>'BANCO DADOS-CUSTO TOTAL'!J64</f>
        <v>Efetivo</v>
      </c>
      <c r="J65" s="399">
        <f>'BANCO DADOS-CUSTO TOTAL'!Q64</f>
        <v>1602.86</v>
      </c>
      <c r="K65" s="539">
        <f>'BANCO DADOS-CUSTO TOTAL'!Z64</f>
        <v>0</v>
      </c>
      <c r="L65" s="100">
        <f>'BANCO DADOS-CUSTO TOTAL'!AA64</f>
        <v>30</v>
      </c>
      <c r="M65" s="383">
        <f t="shared" si="0"/>
        <v>1602.86</v>
      </c>
      <c r="N65" s="101"/>
      <c r="O65" s="422">
        <f t="shared" si="9"/>
        <v>20</v>
      </c>
      <c r="P65" s="356">
        <f>VLOOKUP(H65,PARAMETROS!E:AX,12,0)</f>
        <v>15.99</v>
      </c>
      <c r="Q65" s="426">
        <f t="shared" si="1"/>
        <v>319.8</v>
      </c>
      <c r="R65" s="426">
        <f>Q65*10%</f>
        <v>31.980000000000004</v>
      </c>
      <c r="S65" s="426">
        <f t="shared" si="2"/>
        <v>287.82</v>
      </c>
      <c r="T65" s="356"/>
      <c r="U65" s="422">
        <f>O65</f>
        <v>20</v>
      </c>
      <c r="V65" s="426">
        <f t="shared" si="3"/>
        <v>7.4</v>
      </c>
      <c r="W65" s="426">
        <f t="shared" si="4"/>
        <v>148</v>
      </c>
      <c r="X65" s="126">
        <f t="shared" si="5"/>
        <v>96.171599999999998</v>
      </c>
      <c r="Y65" s="427">
        <f t="shared" si="6"/>
        <v>51.828400000000002</v>
      </c>
      <c r="Z65" s="392"/>
      <c r="AA65" s="428"/>
      <c r="AB65" s="395"/>
      <c r="AC65" s="430"/>
      <c r="AD65" s="430"/>
      <c r="AE65" s="432"/>
      <c r="AF65" s="433"/>
      <c r="AG65" s="433"/>
    </row>
    <row r="66" spans="1:33" s="554" customFormat="1" ht="15.95" customHeight="1">
      <c r="A66" s="540"/>
      <c r="B66" s="540"/>
      <c r="C66" s="540" t="str">
        <f>'BANCO DADOS-CUSTO TOTAL'!C65</f>
        <v>TOTAL CAETÉ</v>
      </c>
      <c r="D66" s="541"/>
      <c r="E66" s="542"/>
      <c r="F66" s="542"/>
      <c r="G66" s="542"/>
      <c r="H66" s="542"/>
      <c r="I66" s="543"/>
      <c r="J66" s="544"/>
      <c r="K66" s="545"/>
      <c r="L66" s="542"/>
      <c r="M66" s="460"/>
      <c r="N66" s="543"/>
      <c r="O66" s="546"/>
      <c r="P66" s="459"/>
      <c r="Q66" s="544"/>
      <c r="R66" s="544"/>
      <c r="S66" s="544"/>
      <c r="T66" s="459"/>
      <c r="U66" s="546"/>
      <c r="V66" s="544"/>
      <c r="W66" s="544"/>
      <c r="X66" s="461"/>
      <c r="Y66" s="547"/>
      <c r="Z66" s="548"/>
      <c r="AA66" s="549" t="s">
        <v>3830</v>
      </c>
      <c r="AB66" s="550"/>
      <c r="AC66" s="551"/>
      <c r="AD66" s="551"/>
      <c r="AE66" s="552"/>
      <c r="AF66" s="553"/>
      <c r="AG66" s="553"/>
    </row>
    <row r="67" spans="1:33" s="393" customFormat="1" ht="15.95" customHeight="1">
      <c r="A67" s="319">
        <f>'BANCO DADOS-CUSTO TOTAL'!A66</f>
        <v>1</v>
      </c>
      <c r="B67" s="319">
        <f>'BANCO DADOS-CUSTO TOTAL'!B66</f>
        <v>1</v>
      </c>
      <c r="C67" s="319" t="str">
        <f>'BANCO DADOS-CUSTO TOTAL'!C66</f>
        <v>Campo Belo</v>
      </c>
      <c r="D67" s="320">
        <f>'BANCO DADOS-CUSTO TOTAL'!F66</f>
        <v>46</v>
      </c>
      <c r="E67" s="100">
        <f>'BANCO DADOS-CUSTO TOTAL'!G66</f>
        <v>12386</v>
      </c>
      <c r="F67" s="100" t="str">
        <f>'BANCO DADOS-CUSTO TOTAL'!H66</f>
        <v>BELTRANO 12386</v>
      </c>
      <c r="G67" s="100" t="str">
        <f>'BANCO DADOS-CUSTO TOTAL'!I66</f>
        <v>VIGILANTE ARMADO - 220 H</v>
      </c>
      <c r="H67" s="100" t="str">
        <f>'BANCO DADOS-CUSTO TOTAL'!K66</f>
        <v>Campo BeloVIGILANTE ARMADO - 220 H</v>
      </c>
      <c r="I67" s="101" t="str">
        <f>'BANCO DADOS-CUSTO TOTAL'!J66</f>
        <v>Efetivo</v>
      </c>
      <c r="J67" s="399">
        <f>'BANCO DADOS-CUSTO TOTAL'!Q66</f>
        <v>1602.86</v>
      </c>
      <c r="K67" s="539">
        <f>'BANCO DADOS-CUSTO TOTAL'!Z66</f>
        <v>0</v>
      </c>
      <c r="L67" s="100">
        <f>'BANCO DADOS-CUSTO TOTAL'!AA66</f>
        <v>30</v>
      </c>
      <c r="M67" s="383">
        <f t="shared" si="0"/>
        <v>1602.86</v>
      </c>
      <c r="N67" s="101"/>
      <c r="O67" s="422">
        <f t="shared" si="9"/>
        <v>20</v>
      </c>
      <c r="P67" s="356">
        <f>VLOOKUP(H67,PARAMETROS!E:AX,12,0)</f>
        <v>15.99</v>
      </c>
      <c r="Q67" s="426">
        <f t="shared" si="1"/>
        <v>319.8</v>
      </c>
      <c r="R67" s="426">
        <f>Q67*10%</f>
        <v>31.980000000000004</v>
      </c>
      <c r="S67" s="426">
        <f t="shared" si="2"/>
        <v>287.82</v>
      </c>
      <c r="T67" s="356"/>
      <c r="U67" s="422">
        <f>O67</f>
        <v>20</v>
      </c>
      <c r="V67" s="426">
        <f t="shared" si="3"/>
        <v>7.4</v>
      </c>
      <c r="W67" s="426">
        <f t="shared" si="4"/>
        <v>148</v>
      </c>
      <c r="X67" s="126">
        <f t="shared" si="5"/>
        <v>96.171599999999998</v>
      </c>
      <c r="Y67" s="427">
        <f t="shared" si="6"/>
        <v>51.828400000000002</v>
      </c>
      <c r="Z67" s="392"/>
      <c r="AA67" s="428"/>
      <c r="AB67" s="395"/>
      <c r="AC67" s="430"/>
      <c r="AD67" s="430"/>
      <c r="AE67" s="432"/>
      <c r="AF67" s="433"/>
      <c r="AG67" s="433"/>
    </row>
    <row r="68" spans="1:33" s="554" customFormat="1" ht="15.95" customHeight="1">
      <c r="A68" s="540"/>
      <c r="B68" s="540"/>
      <c r="C68" s="540" t="str">
        <f>'BANCO DADOS-CUSTO TOTAL'!C67</f>
        <v>TOTAL CAMPO BELO</v>
      </c>
      <c r="D68" s="541"/>
      <c r="E68" s="542"/>
      <c r="F68" s="542"/>
      <c r="G68" s="542"/>
      <c r="H68" s="542"/>
      <c r="I68" s="543"/>
      <c r="J68" s="544"/>
      <c r="K68" s="545"/>
      <c r="L68" s="542"/>
      <c r="M68" s="460"/>
      <c r="N68" s="543"/>
      <c r="O68" s="546"/>
      <c r="P68" s="459"/>
      <c r="Q68" s="544"/>
      <c r="R68" s="544"/>
      <c r="S68" s="544"/>
      <c r="T68" s="459"/>
      <c r="U68" s="546"/>
      <c r="V68" s="544"/>
      <c r="W68" s="544"/>
      <c r="X68" s="461"/>
      <c r="Y68" s="547"/>
      <c r="Z68" s="548"/>
      <c r="AA68" s="549" t="s">
        <v>3830</v>
      </c>
      <c r="AB68" s="550"/>
      <c r="AC68" s="551"/>
      <c r="AD68" s="551"/>
      <c r="AE68" s="552"/>
      <c r="AF68" s="553"/>
      <c r="AG68" s="553"/>
    </row>
    <row r="69" spans="1:33" s="393" customFormat="1" ht="15.95" customHeight="1">
      <c r="A69" s="319">
        <f>'BANCO DADOS-CUSTO TOTAL'!A68</f>
        <v>1</v>
      </c>
      <c r="B69" s="319">
        <f>'BANCO DADOS-CUSTO TOTAL'!B68</f>
        <v>1</v>
      </c>
      <c r="C69" s="319" t="str">
        <f>'BANCO DADOS-CUSTO TOTAL'!C68</f>
        <v>Conselheiro Lafaiete</v>
      </c>
      <c r="D69" s="320">
        <f>'BANCO DADOS-CUSTO TOTAL'!F68</f>
        <v>47</v>
      </c>
      <c r="E69" s="100">
        <f>'BANCO DADOS-CUSTO TOTAL'!G68</f>
        <v>12387</v>
      </c>
      <c r="F69" s="100" t="str">
        <f>'BANCO DADOS-CUSTO TOTAL'!H68</f>
        <v>BELTRANO 12387</v>
      </c>
      <c r="G69" s="100" t="str">
        <f>'BANCO DADOS-CUSTO TOTAL'!I68</f>
        <v>VIGILANTE ARMADO - 12X36 DIURNO</v>
      </c>
      <c r="H69" s="100" t="str">
        <f>'BANCO DADOS-CUSTO TOTAL'!K68</f>
        <v>Conselheiro LafaieteVIGILANTE ARMADO - 12X36 DIURNO</v>
      </c>
      <c r="I69" s="101" t="str">
        <f>'BANCO DADOS-CUSTO TOTAL'!J68</f>
        <v>Efetivo</v>
      </c>
      <c r="J69" s="399">
        <f>'BANCO DADOS-CUSTO TOTAL'!Q68</f>
        <v>1602.86</v>
      </c>
      <c r="K69" s="539">
        <f>'BANCO DADOS-CUSTO TOTAL'!Z68</f>
        <v>2.5270999999999999</v>
      </c>
      <c r="L69" s="100">
        <f>'BANCO DADOS-CUSTO TOTAL'!AA68</f>
        <v>30</v>
      </c>
      <c r="M69" s="383">
        <f t="shared" si="0"/>
        <v>1467.8404164666665</v>
      </c>
      <c r="N69" s="101"/>
      <c r="O69" s="422">
        <v>13.5</v>
      </c>
      <c r="P69" s="356">
        <f>VLOOKUP(H69,PARAMETROS!E:AX,12,0)</f>
        <v>15.99</v>
      </c>
      <c r="Q69" s="426">
        <f t="shared" si="1"/>
        <v>215.86500000000001</v>
      </c>
      <c r="R69" s="426">
        <f>Q69*10%</f>
        <v>21.586500000000001</v>
      </c>
      <c r="S69" s="426">
        <f t="shared" si="2"/>
        <v>194.27850000000001</v>
      </c>
      <c r="T69" s="356"/>
      <c r="U69" s="422">
        <f>O69</f>
        <v>13.5</v>
      </c>
      <c r="V69" s="426">
        <f t="shared" si="3"/>
        <v>7.4</v>
      </c>
      <c r="W69" s="426">
        <f t="shared" si="4"/>
        <v>99.9</v>
      </c>
      <c r="X69" s="126">
        <f t="shared" si="5"/>
        <v>88.070424987999999</v>
      </c>
      <c r="Y69" s="427">
        <f t="shared" si="6"/>
        <v>11.829575012000006</v>
      </c>
      <c r="Z69" s="392"/>
      <c r="AA69" s="428"/>
      <c r="AB69" s="395"/>
      <c r="AC69" s="430"/>
      <c r="AD69" s="430"/>
      <c r="AE69" s="432"/>
      <c r="AF69" s="433"/>
      <c r="AG69" s="433"/>
    </row>
    <row r="70" spans="1:33" s="393" customFormat="1" ht="15.95" customHeight="1">
      <c r="A70" s="319">
        <f>'BANCO DADOS-CUSTO TOTAL'!A69</f>
        <v>1</v>
      </c>
      <c r="B70" s="319">
        <f>'BANCO DADOS-CUSTO TOTAL'!B69</f>
        <v>1</v>
      </c>
      <c r="C70" s="319" t="str">
        <f>'BANCO DADOS-CUSTO TOTAL'!C69</f>
        <v>Conselheiro Lafaiete</v>
      </c>
      <c r="D70" s="320">
        <f>'BANCO DADOS-CUSTO TOTAL'!F69</f>
        <v>48</v>
      </c>
      <c r="E70" s="100">
        <f>'BANCO DADOS-CUSTO TOTAL'!G69</f>
        <v>12388</v>
      </c>
      <c r="F70" s="100" t="str">
        <f>'BANCO DADOS-CUSTO TOTAL'!H69</f>
        <v>BELTRANO 12388</v>
      </c>
      <c r="G70" s="100" t="str">
        <f>'BANCO DADOS-CUSTO TOTAL'!I69</f>
        <v>VIGILANTE ARMADO - 12X36 DIURNO</v>
      </c>
      <c r="H70" s="100" t="str">
        <f>'BANCO DADOS-CUSTO TOTAL'!K69</f>
        <v>Conselheiro LafaieteVIGILANTE ARMADO - 12X36 DIURNO</v>
      </c>
      <c r="I70" s="101" t="str">
        <f>'BANCO DADOS-CUSTO TOTAL'!J69</f>
        <v>Efetivo</v>
      </c>
      <c r="J70" s="399">
        <f>'BANCO DADOS-CUSTO TOTAL'!Q69</f>
        <v>1602.86</v>
      </c>
      <c r="K70" s="539">
        <f>'BANCO DADOS-CUSTO TOTAL'!Z69</f>
        <v>0</v>
      </c>
      <c r="L70" s="100">
        <f>'BANCO DADOS-CUSTO TOTAL'!AA69</f>
        <v>30</v>
      </c>
      <c r="M70" s="383">
        <f t="shared" si="0"/>
        <v>1602.86</v>
      </c>
      <c r="N70" s="101"/>
      <c r="O70" s="422">
        <f t="shared" si="9"/>
        <v>15.5</v>
      </c>
      <c r="P70" s="356">
        <f>VLOOKUP(H70,PARAMETROS!E:AX,12,0)</f>
        <v>15.99</v>
      </c>
      <c r="Q70" s="426">
        <f t="shared" si="1"/>
        <v>247.845</v>
      </c>
      <c r="R70" s="426">
        <f>Q70*10%</f>
        <v>24.784500000000001</v>
      </c>
      <c r="S70" s="426">
        <f t="shared" si="2"/>
        <v>223.06049999999999</v>
      </c>
      <c r="T70" s="356"/>
      <c r="U70" s="422">
        <f>O70</f>
        <v>15.5</v>
      </c>
      <c r="V70" s="426">
        <f t="shared" si="3"/>
        <v>7.4</v>
      </c>
      <c r="W70" s="426">
        <f t="shared" si="4"/>
        <v>114.7</v>
      </c>
      <c r="X70" s="126">
        <f t="shared" si="5"/>
        <v>96.171599999999998</v>
      </c>
      <c r="Y70" s="427">
        <f t="shared" si="6"/>
        <v>18.528400000000005</v>
      </c>
      <c r="Z70" s="392"/>
      <c r="AA70" s="428"/>
      <c r="AB70" s="395"/>
      <c r="AC70" s="430"/>
      <c r="AD70" s="430"/>
      <c r="AE70" s="432"/>
      <c r="AF70" s="433"/>
      <c r="AG70" s="433"/>
    </row>
    <row r="71" spans="1:33" s="554" customFormat="1" ht="15.95" customHeight="1">
      <c r="A71" s="540"/>
      <c r="B71" s="540"/>
      <c r="C71" s="540" t="str">
        <f>'BANCO DADOS-CUSTO TOTAL'!C70</f>
        <v>TOTAL CONSELHEIRO LAFAIETE</v>
      </c>
      <c r="D71" s="541"/>
      <c r="E71" s="542"/>
      <c r="F71" s="542"/>
      <c r="G71" s="542"/>
      <c r="H71" s="542"/>
      <c r="I71" s="543"/>
      <c r="J71" s="544"/>
      <c r="K71" s="545"/>
      <c r="L71" s="542"/>
      <c r="M71" s="460"/>
      <c r="N71" s="543"/>
      <c r="O71" s="546"/>
      <c r="P71" s="459"/>
      <c r="Q71" s="544"/>
      <c r="R71" s="544"/>
      <c r="S71" s="544"/>
      <c r="T71" s="459"/>
      <c r="U71" s="546"/>
      <c r="V71" s="544"/>
      <c r="W71" s="544"/>
      <c r="X71" s="461"/>
      <c r="Y71" s="547"/>
      <c r="Z71" s="548"/>
      <c r="AA71" s="549" t="s">
        <v>3830</v>
      </c>
      <c r="AB71" s="550"/>
      <c r="AC71" s="551"/>
      <c r="AD71" s="551"/>
      <c r="AE71" s="552"/>
      <c r="AF71" s="553"/>
      <c r="AG71" s="553"/>
    </row>
    <row r="72" spans="1:33" s="393" customFormat="1" ht="15.95" customHeight="1">
      <c r="A72" s="319">
        <f>'BANCO DADOS-CUSTO TOTAL'!A71</f>
        <v>1</v>
      </c>
      <c r="B72" s="319">
        <f>'BANCO DADOS-CUSTO TOTAL'!B71</f>
        <v>0</v>
      </c>
      <c r="C72" s="319" t="str">
        <f>'BANCO DADOS-CUSTO TOTAL'!C71</f>
        <v>Contagem</v>
      </c>
      <c r="D72" s="320">
        <f>'BANCO DADOS-CUSTO TOTAL'!F71</f>
        <v>49</v>
      </c>
      <c r="E72" s="100">
        <f>'BANCO DADOS-CUSTO TOTAL'!G71</f>
        <v>12389</v>
      </c>
      <c r="F72" s="100" t="str">
        <f>'BANCO DADOS-CUSTO TOTAL'!H71</f>
        <v>BELTRANO 12389</v>
      </c>
      <c r="G72" s="100" t="str">
        <f>'BANCO DADOS-CUSTO TOTAL'!I71</f>
        <v>VIGILANTE ARMADO - 12X36 DIURNO</v>
      </c>
      <c r="H72" s="100" t="str">
        <f>'BANCO DADOS-CUSTO TOTAL'!K71</f>
        <v>ContagemVIGILANTE ARMADO - 12X36 DIURNO</v>
      </c>
      <c r="I72" s="101" t="str">
        <f>'BANCO DADOS-CUSTO TOTAL'!J71</f>
        <v>AFASTADO</v>
      </c>
      <c r="J72" s="399">
        <f>'BANCO DADOS-CUSTO TOTAL'!Q71</f>
        <v>1602.86</v>
      </c>
      <c r="K72" s="539">
        <f>'BANCO DADOS-CUSTO TOTAL'!Z71</f>
        <v>0</v>
      </c>
      <c r="L72" s="100">
        <f>'BANCO DADOS-CUSTO TOTAL'!AA71</f>
        <v>0</v>
      </c>
      <c r="M72" s="383">
        <f t="shared" si="0"/>
        <v>0</v>
      </c>
      <c r="N72" s="101"/>
      <c r="O72" s="422">
        <v>0</v>
      </c>
      <c r="P72" s="356">
        <f>VLOOKUP(H72,PARAMETROS!E:AX,12,0)</f>
        <v>15.99</v>
      </c>
      <c r="Q72" s="426">
        <f t="shared" si="1"/>
        <v>0</v>
      </c>
      <c r="R72" s="426">
        <f>Q72*10%</f>
        <v>0</v>
      </c>
      <c r="S72" s="426">
        <f t="shared" si="2"/>
        <v>0</v>
      </c>
      <c r="T72" s="356"/>
      <c r="U72" s="422">
        <f>O72</f>
        <v>0</v>
      </c>
      <c r="V72" s="426">
        <f t="shared" si="3"/>
        <v>7.4</v>
      </c>
      <c r="W72" s="426">
        <f t="shared" si="4"/>
        <v>0</v>
      </c>
      <c r="X72" s="126">
        <f t="shared" si="5"/>
        <v>0</v>
      </c>
      <c r="Y72" s="427">
        <f t="shared" si="6"/>
        <v>0</v>
      </c>
      <c r="Z72" s="392"/>
      <c r="AA72" s="428"/>
      <c r="AB72" s="395"/>
      <c r="AC72" s="430"/>
      <c r="AD72" s="430"/>
      <c r="AE72" s="432"/>
      <c r="AF72" s="433"/>
      <c r="AG72" s="433"/>
    </row>
    <row r="73" spans="1:33" s="393" customFormat="1" ht="15.95" customHeight="1">
      <c r="A73" s="319">
        <f>'BANCO DADOS-CUSTO TOTAL'!A72</f>
        <v>1</v>
      </c>
      <c r="B73" s="319">
        <f>'BANCO DADOS-CUSTO TOTAL'!B72</f>
        <v>1</v>
      </c>
      <c r="C73" s="319" t="str">
        <f>'BANCO DADOS-CUSTO TOTAL'!C72</f>
        <v>Contagem</v>
      </c>
      <c r="D73" s="320">
        <f>'BANCO DADOS-CUSTO TOTAL'!F72</f>
        <v>166</v>
      </c>
      <c r="E73" s="100">
        <f>'BANCO DADOS-CUSTO TOTAL'!G72</f>
        <v>123166</v>
      </c>
      <c r="F73" s="100" t="str">
        <f>'BANCO DADOS-CUSTO TOTAL'!H72</f>
        <v>BELTRANO 123166</v>
      </c>
      <c r="G73" s="100" t="str">
        <f>'BANCO DADOS-CUSTO TOTAL'!I72</f>
        <v>VIGILANTE ARMADO - 12X36 DIURNO</v>
      </c>
      <c r="H73" s="100" t="str">
        <f>'BANCO DADOS-CUSTO TOTAL'!K72</f>
        <v>ContagemVIGILANTE ARMADO - 12X36 DIURNO</v>
      </c>
      <c r="I73" s="101" t="str">
        <f>'BANCO DADOS-CUSTO TOTAL'!J72</f>
        <v>Efetivo</v>
      </c>
      <c r="J73" s="399">
        <f>'BANCO DADOS-CUSTO TOTAL'!Q72</f>
        <v>1602.86</v>
      </c>
      <c r="K73" s="539">
        <f>'BANCO DADOS-CUSTO TOTAL'!Z72</f>
        <v>0</v>
      </c>
      <c r="L73" s="100">
        <f>'BANCO DADOS-CUSTO TOTAL'!AA72</f>
        <v>30</v>
      </c>
      <c r="M73" s="383">
        <f t="shared" si="0"/>
        <v>1602.86</v>
      </c>
      <c r="N73" s="101"/>
      <c r="O73" s="422">
        <f t="shared" si="9"/>
        <v>15.5</v>
      </c>
      <c r="P73" s="356">
        <f>VLOOKUP(H73,PARAMETROS!E:AX,12,0)</f>
        <v>15.99</v>
      </c>
      <c r="Q73" s="426">
        <f t="shared" si="1"/>
        <v>247.845</v>
      </c>
      <c r="R73" s="426">
        <f>Q73*10%</f>
        <v>24.784500000000001</v>
      </c>
      <c r="S73" s="426">
        <f t="shared" si="2"/>
        <v>223.06049999999999</v>
      </c>
      <c r="T73" s="356"/>
      <c r="U73" s="422">
        <f>O73</f>
        <v>15.5</v>
      </c>
      <c r="V73" s="426">
        <f t="shared" si="3"/>
        <v>7.4</v>
      </c>
      <c r="W73" s="426">
        <f t="shared" si="4"/>
        <v>114.7</v>
      </c>
      <c r="X73" s="126">
        <f t="shared" si="5"/>
        <v>96.171599999999998</v>
      </c>
      <c r="Y73" s="427">
        <f t="shared" si="6"/>
        <v>18.528400000000005</v>
      </c>
      <c r="Z73" s="392"/>
      <c r="AA73" s="428"/>
      <c r="AB73" s="395"/>
      <c r="AC73" s="430"/>
      <c r="AD73" s="430"/>
      <c r="AE73" s="432"/>
      <c r="AF73" s="433"/>
      <c r="AG73" s="433"/>
    </row>
    <row r="74" spans="1:33" s="393" customFormat="1" ht="15.95" customHeight="1">
      <c r="A74" s="319">
        <f>'BANCO DADOS-CUSTO TOTAL'!A73</f>
        <v>1</v>
      </c>
      <c r="B74" s="319">
        <f>'BANCO DADOS-CUSTO TOTAL'!B73</f>
        <v>1</v>
      </c>
      <c r="C74" s="319" t="str">
        <f>'BANCO DADOS-CUSTO TOTAL'!C73</f>
        <v>Contagem</v>
      </c>
      <c r="D74" s="320">
        <f>'BANCO DADOS-CUSTO TOTAL'!F73</f>
        <v>50</v>
      </c>
      <c r="E74" s="100">
        <f>'BANCO DADOS-CUSTO TOTAL'!G73</f>
        <v>12390</v>
      </c>
      <c r="F74" s="100" t="str">
        <f>'BANCO DADOS-CUSTO TOTAL'!H73</f>
        <v>BELTRANO 12390</v>
      </c>
      <c r="G74" s="100" t="str">
        <f>'BANCO DADOS-CUSTO TOTAL'!I73</f>
        <v>VIGILANTE ARMADO - 12X36 DIURNO</v>
      </c>
      <c r="H74" s="100" t="str">
        <f>'BANCO DADOS-CUSTO TOTAL'!K73</f>
        <v>ContagemVIGILANTE ARMADO - 12X36 DIURNO</v>
      </c>
      <c r="I74" s="101" t="str">
        <f>'BANCO DADOS-CUSTO TOTAL'!J73</f>
        <v>Efetivo</v>
      </c>
      <c r="J74" s="399">
        <f>'BANCO DADOS-CUSTO TOTAL'!Q73</f>
        <v>1602.86</v>
      </c>
      <c r="K74" s="539">
        <f>'BANCO DADOS-CUSTO TOTAL'!Z73</f>
        <v>0</v>
      </c>
      <c r="L74" s="100">
        <f>'BANCO DADOS-CUSTO TOTAL'!AA73</f>
        <v>30</v>
      </c>
      <c r="M74" s="383">
        <f t="shared" si="0"/>
        <v>1602.86</v>
      </c>
      <c r="N74" s="101"/>
      <c r="O74" s="422">
        <f t="shared" si="9"/>
        <v>15.5</v>
      </c>
      <c r="P74" s="356">
        <f>VLOOKUP(H74,PARAMETROS!E:AX,12,0)</f>
        <v>15.99</v>
      </c>
      <c r="Q74" s="426">
        <f>O74*P74</f>
        <v>247.845</v>
      </c>
      <c r="R74" s="426">
        <f>Q74*10%</f>
        <v>24.784500000000001</v>
      </c>
      <c r="S74" s="426">
        <f t="shared" si="2"/>
        <v>223.06049999999999</v>
      </c>
      <c r="T74" s="356"/>
      <c r="U74" s="422">
        <f>O74</f>
        <v>15.5</v>
      </c>
      <c r="V74" s="426">
        <f t="shared" si="3"/>
        <v>7.4</v>
      </c>
      <c r="W74" s="426">
        <f t="shared" si="4"/>
        <v>114.7</v>
      </c>
      <c r="X74" s="126">
        <f t="shared" si="5"/>
        <v>96.171599999999998</v>
      </c>
      <c r="Y74" s="427">
        <f t="shared" si="6"/>
        <v>18.528400000000005</v>
      </c>
      <c r="Z74" s="392"/>
      <c r="AA74" s="428"/>
      <c r="AB74" s="395"/>
      <c r="AC74" s="430"/>
      <c r="AD74" s="430"/>
      <c r="AE74" s="432"/>
      <c r="AF74" s="433"/>
      <c r="AG74" s="433"/>
    </row>
    <row r="75" spans="1:33" s="393" customFormat="1" ht="15.95" customHeight="1">
      <c r="A75" s="319">
        <f>'BANCO DADOS-CUSTO TOTAL'!A74</f>
        <v>1</v>
      </c>
      <c r="B75" s="319">
        <f>'BANCO DADOS-CUSTO TOTAL'!B74</f>
        <v>1</v>
      </c>
      <c r="C75" s="319" t="str">
        <f>'BANCO DADOS-CUSTO TOTAL'!C74</f>
        <v>Contagem</v>
      </c>
      <c r="D75" s="320">
        <f>'BANCO DADOS-CUSTO TOTAL'!F74</f>
        <v>51</v>
      </c>
      <c r="E75" s="100">
        <f>'BANCO DADOS-CUSTO TOTAL'!G74</f>
        <v>12391</v>
      </c>
      <c r="F75" s="100" t="str">
        <f>'BANCO DADOS-CUSTO TOTAL'!H74</f>
        <v>BELTRANO 12391</v>
      </c>
      <c r="G75" s="100" t="str">
        <f>'BANCO DADOS-CUSTO TOTAL'!I74</f>
        <v>VIGILANTE ARMADO - 12X36 NOTURNO</v>
      </c>
      <c r="H75" s="100" t="str">
        <f>'BANCO DADOS-CUSTO TOTAL'!K74</f>
        <v>ContagemVIGILANTE ARMADO - 12X36 NOTURNO</v>
      </c>
      <c r="I75" s="101" t="str">
        <f>'BANCO DADOS-CUSTO TOTAL'!J74</f>
        <v>Efetivo</v>
      </c>
      <c r="J75" s="399">
        <f>'BANCO DADOS-CUSTO TOTAL'!Q74</f>
        <v>1602.86</v>
      </c>
      <c r="K75" s="539">
        <f>'BANCO DADOS-CUSTO TOTAL'!Z74</f>
        <v>0</v>
      </c>
      <c r="L75" s="100">
        <f>'BANCO DADOS-CUSTO TOTAL'!AA74</f>
        <v>30</v>
      </c>
      <c r="M75" s="383">
        <f t="shared" si="0"/>
        <v>1602.86</v>
      </c>
      <c r="N75" s="101"/>
      <c r="O75" s="422">
        <f t="shared" si="9"/>
        <v>15.5</v>
      </c>
      <c r="P75" s="356">
        <f>VLOOKUP(H75,PARAMETROS!E:AX,12,0)</f>
        <v>15.99</v>
      </c>
      <c r="Q75" s="426">
        <f t="shared" si="1"/>
        <v>247.845</v>
      </c>
      <c r="R75" s="426">
        <f>Q75*10%</f>
        <v>24.784500000000001</v>
      </c>
      <c r="S75" s="426">
        <f t="shared" si="2"/>
        <v>223.06049999999999</v>
      </c>
      <c r="T75" s="356"/>
      <c r="U75" s="422">
        <f>O75</f>
        <v>15.5</v>
      </c>
      <c r="V75" s="426">
        <f t="shared" si="3"/>
        <v>7.4</v>
      </c>
      <c r="W75" s="426">
        <f t="shared" si="4"/>
        <v>114.7</v>
      </c>
      <c r="X75" s="126">
        <f t="shared" si="5"/>
        <v>96.171599999999998</v>
      </c>
      <c r="Y75" s="427">
        <f t="shared" si="6"/>
        <v>18.528400000000005</v>
      </c>
      <c r="Z75" s="392"/>
      <c r="AA75" s="428"/>
      <c r="AB75" s="395"/>
      <c r="AC75" s="430"/>
      <c r="AD75" s="430"/>
      <c r="AE75" s="432"/>
      <c r="AF75" s="433"/>
      <c r="AG75" s="433"/>
    </row>
    <row r="76" spans="1:33" s="393" customFormat="1" ht="15.95" customHeight="1">
      <c r="A76" s="319">
        <f>'BANCO DADOS-CUSTO TOTAL'!A75</f>
        <v>1</v>
      </c>
      <c r="B76" s="319">
        <f>'BANCO DADOS-CUSTO TOTAL'!B75</f>
        <v>1</v>
      </c>
      <c r="C76" s="319" t="str">
        <f>'BANCO DADOS-CUSTO TOTAL'!C75</f>
        <v>Contagem</v>
      </c>
      <c r="D76" s="320">
        <f>'BANCO DADOS-CUSTO TOTAL'!F75</f>
        <v>52</v>
      </c>
      <c r="E76" s="100">
        <f>'BANCO DADOS-CUSTO TOTAL'!G75</f>
        <v>12392</v>
      </c>
      <c r="F76" s="100" t="str">
        <f>'BANCO DADOS-CUSTO TOTAL'!H75</f>
        <v>BELTRANO 12392</v>
      </c>
      <c r="G76" s="100" t="str">
        <f>'BANCO DADOS-CUSTO TOTAL'!I75</f>
        <v>VIGILANTE ARMADO - 12X36 NOTURNO</v>
      </c>
      <c r="H76" s="100" t="str">
        <f>'BANCO DADOS-CUSTO TOTAL'!K75</f>
        <v>ContagemVIGILANTE ARMADO - 12X36 NOTURNO</v>
      </c>
      <c r="I76" s="101" t="str">
        <f>'BANCO DADOS-CUSTO TOTAL'!J75</f>
        <v>Efetivo</v>
      </c>
      <c r="J76" s="399">
        <f>'BANCO DADOS-CUSTO TOTAL'!Q75</f>
        <v>1602.86</v>
      </c>
      <c r="K76" s="539">
        <f>'BANCO DADOS-CUSTO TOTAL'!Z75</f>
        <v>0</v>
      </c>
      <c r="L76" s="100">
        <f>'BANCO DADOS-CUSTO TOTAL'!AA75</f>
        <v>30</v>
      </c>
      <c r="M76" s="383">
        <f t="shared" si="0"/>
        <v>1602.86</v>
      </c>
      <c r="N76" s="101"/>
      <c r="O76" s="422">
        <f t="shared" si="9"/>
        <v>15.5</v>
      </c>
      <c r="P76" s="356">
        <f>VLOOKUP(H76,PARAMETROS!E:AX,12,0)</f>
        <v>15.99</v>
      </c>
      <c r="Q76" s="426">
        <f t="shared" si="1"/>
        <v>247.845</v>
      </c>
      <c r="R76" s="426">
        <f>Q76*10%</f>
        <v>24.784500000000001</v>
      </c>
      <c r="S76" s="426">
        <f t="shared" si="2"/>
        <v>223.06049999999999</v>
      </c>
      <c r="T76" s="356"/>
      <c r="U76" s="422">
        <f>O76</f>
        <v>15.5</v>
      </c>
      <c r="V76" s="426">
        <f t="shared" si="3"/>
        <v>7.4</v>
      </c>
      <c r="W76" s="426">
        <f t="shared" si="4"/>
        <v>114.7</v>
      </c>
      <c r="X76" s="126">
        <f t="shared" si="5"/>
        <v>96.171599999999998</v>
      </c>
      <c r="Y76" s="427">
        <f t="shared" si="6"/>
        <v>18.528400000000005</v>
      </c>
      <c r="Z76" s="392"/>
      <c r="AA76" s="428"/>
      <c r="AB76" s="395"/>
      <c r="AC76" s="430"/>
      <c r="AD76" s="430"/>
      <c r="AE76" s="432"/>
      <c r="AF76" s="433"/>
      <c r="AG76" s="433"/>
    </row>
    <row r="77" spans="1:33" s="554" customFormat="1" ht="15.95" customHeight="1">
      <c r="A77" s="540"/>
      <c r="B77" s="540"/>
      <c r="C77" s="540" t="str">
        <f>'BANCO DADOS-CUSTO TOTAL'!C76</f>
        <v>TOTAL CONTAGEM</v>
      </c>
      <c r="D77" s="541"/>
      <c r="E77" s="542"/>
      <c r="F77" s="542"/>
      <c r="G77" s="542"/>
      <c r="H77" s="542"/>
      <c r="I77" s="543"/>
      <c r="J77" s="544"/>
      <c r="K77" s="545"/>
      <c r="L77" s="542"/>
      <c r="M77" s="460"/>
      <c r="N77" s="543"/>
      <c r="O77" s="546"/>
      <c r="P77" s="459"/>
      <c r="Q77" s="544"/>
      <c r="R77" s="544"/>
      <c r="S77" s="544"/>
      <c r="T77" s="459"/>
      <c r="U77" s="546"/>
      <c r="V77" s="544"/>
      <c r="W77" s="544"/>
      <c r="X77" s="461"/>
      <c r="Y77" s="547"/>
      <c r="Z77" s="548"/>
      <c r="AA77" s="549" t="s">
        <v>3830</v>
      </c>
      <c r="AB77" s="550"/>
      <c r="AC77" s="551"/>
      <c r="AD77" s="551"/>
      <c r="AE77" s="552"/>
      <c r="AF77" s="553"/>
      <c r="AG77" s="553"/>
    </row>
    <row r="78" spans="1:33" s="393" customFormat="1" ht="15.95" customHeight="1">
      <c r="A78" s="319">
        <f>'BANCO DADOS-CUSTO TOTAL'!A77</f>
        <v>1</v>
      </c>
      <c r="B78" s="319">
        <f>'BANCO DADOS-CUSTO TOTAL'!B77</f>
        <v>1</v>
      </c>
      <c r="C78" s="319" t="str">
        <f>'BANCO DADOS-CUSTO TOTAL'!C77</f>
        <v>Formiga</v>
      </c>
      <c r="D78" s="320">
        <f>'BANCO DADOS-CUSTO TOTAL'!F77</f>
        <v>53</v>
      </c>
      <c r="E78" s="100">
        <f>'BANCO DADOS-CUSTO TOTAL'!G77</f>
        <v>12393</v>
      </c>
      <c r="F78" s="100" t="str">
        <f>'BANCO DADOS-CUSTO TOTAL'!H77</f>
        <v>BELTRANO 12393</v>
      </c>
      <c r="G78" s="100" t="str">
        <f>'BANCO DADOS-CUSTO TOTAL'!I77</f>
        <v>VIGILANTE ARMADO - 220 H</v>
      </c>
      <c r="H78" s="100" t="str">
        <f>'BANCO DADOS-CUSTO TOTAL'!K77</f>
        <v>FormigaVIGILANTE ARMADO - 220 H</v>
      </c>
      <c r="I78" s="101" t="str">
        <f>'BANCO DADOS-CUSTO TOTAL'!J77</f>
        <v>Efetivo</v>
      </c>
      <c r="J78" s="399">
        <f>'BANCO DADOS-CUSTO TOTAL'!Q77</f>
        <v>1602.86</v>
      </c>
      <c r="K78" s="539">
        <f>'BANCO DADOS-CUSTO TOTAL'!Z77</f>
        <v>0</v>
      </c>
      <c r="L78" s="100">
        <f>'BANCO DADOS-CUSTO TOTAL'!AA77</f>
        <v>30</v>
      </c>
      <c r="M78" s="383">
        <f t="shared" ref="M78:M90" si="10">(J78/30)*(L78-K78)</f>
        <v>1602.86</v>
      </c>
      <c r="N78" s="101"/>
      <c r="O78" s="422">
        <f t="shared" si="9"/>
        <v>20</v>
      </c>
      <c r="P78" s="356">
        <f>VLOOKUP(H78,PARAMETROS!E:AX,12,0)</f>
        <v>15.99</v>
      </c>
      <c r="Q78" s="426">
        <f t="shared" ref="Q78:Q90" si="11">O78*P78</f>
        <v>319.8</v>
      </c>
      <c r="R78" s="426">
        <f>Q78*10%</f>
        <v>31.980000000000004</v>
      </c>
      <c r="S78" s="426">
        <f t="shared" ref="S78:S90" si="12">IF(Q78&lt;1,0,Q78-R78)</f>
        <v>287.82</v>
      </c>
      <c r="T78" s="356"/>
      <c r="U78" s="422">
        <f>O78</f>
        <v>20</v>
      </c>
      <c r="V78" s="426">
        <f t="shared" ref="V78:V90" si="13">IF(C78="BELO HORIZONTE",$R$6,$T$6)</f>
        <v>7.4</v>
      </c>
      <c r="W78" s="426">
        <f t="shared" ref="W78:W90" si="14">V78*U78</f>
        <v>148</v>
      </c>
      <c r="X78" s="126">
        <f t="shared" ref="X78:X90" si="15">IF(U78&lt;20,IF(W78&lt;M78*6/100,(W78),(M78*6/100)),IF(W78&lt;J78*6/100,(W78),(J78*6/100)))</f>
        <v>96.171599999999998</v>
      </c>
      <c r="Y78" s="427">
        <f t="shared" ref="Y78:Y90" si="16">W78-X78</f>
        <v>51.828400000000002</v>
      </c>
      <c r="Z78" s="392"/>
      <c r="AA78" s="428"/>
      <c r="AB78" s="395"/>
      <c r="AC78" s="430"/>
      <c r="AD78" s="430"/>
      <c r="AE78" s="432"/>
      <c r="AF78" s="433"/>
      <c r="AG78" s="433"/>
    </row>
    <row r="79" spans="1:33" s="554" customFormat="1" ht="15.95" customHeight="1">
      <c r="A79" s="540"/>
      <c r="B79" s="540"/>
      <c r="C79" s="540" t="str">
        <f>'BANCO DADOS-CUSTO TOTAL'!C78</f>
        <v>TOTAL FORMIGA</v>
      </c>
      <c r="D79" s="541"/>
      <c r="E79" s="542"/>
      <c r="F79" s="542"/>
      <c r="G79" s="542"/>
      <c r="H79" s="542"/>
      <c r="I79" s="543"/>
      <c r="J79" s="544"/>
      <c r="K79" s="545"/>
      <c r="L79" s="542"/>
      <c r="M79" s="460"/>
      <c r="N79" s="543"/>
      <c r="O79" s="546"/>
      <c r="P79" s="459"/>
      <c r="Q79" s="544"/>
      <c r="R79" s="544"/>
      <c r="S79" s="544"/>
      <c r="T79" s="459"/>
      <c r="U79" s="546"/>
      <c r="V79" s="544"/>
      <c r="W79" s="544"/>
      <c r="X79" s="461"/>
      <c r="Y79" s="547"/>
      <c r="Z79" s="548"/>
      <c r="AA79" s="549" t="s">
        <v>3830</v>
      </c>
      <c r="AB79" s="550"/>
      <c r="AC79" s="551"/>
      <c r="AD79" s="551"/>
      <c r="AE79" s="552"/>
      <c r="AF79" s="553"/>
      <c r="AG79" s="553"/>
    </row>
    <row r="80" spans="1:33" s="393" customFormat="1" ht="15.95" customHeight="1">
      <c r="A80" s="319">
        <f>'BANCO DADOS-CUSTO TOTAL'!A79</f>
        <v>1</v>
      </c>
      <c r="B80" s="319">
        <f>'BANCO DADOS-CUSTO TOTAL'!B79</f>
        <v>1</v>
      </c>
      <c r="C80" s="319" t="str">
        <f>'BANCO DADOS-CUSTO TOTAL'!C79</f>
        <v>Governador Valadares</v>
      </c>
      <c r="D80" s="320">
        <f>'BANCO DADOS-CUSTO TOTAL'!F79</f>
        <v>54</v>
      </c>
      <c r="E80" s="100">
        <f>'BANCO DADOS-CUSTO TOTAL'!G79</f>
        <v>12394</v>
      </c>
      <c r="F80" s="100" t="str">
        <f>'BANCO DADOS-CUSTO TOTAL'!H79</f>
        <v>BELTRANO 12394</v>
      </c>
      <c r="G80" s="100" t="str">
        <f>'BANCO DADOS-CUSTO TOTAL'!I79</f>
        <v>VIGILANTE ARMADO - 220 H</v>
      </c>
      <c r="H80" s="100" t="str">
        <f>'BANCO DADOS-CUSTO TOTAL'!K79</f>
        <v>Governador ValadaresVIGILANTE ARMADO - 220 H</v>
      </c>
      <c r="I80" s="101" t="str">
        <f>'BANCO DADOS-CUSTO TOTAL'!J79</f>
        <v>Efetivo</v>
      </c>
      <c r="J80" s="399">
        <f>'BANCO DADOS-CUSTO TOTAL'!Q79</f>
        <v>1602.86</v>
      </c>
      <c r="K80" s="539">
        <f>'BANCO DADOS-CUSTO TOTAL'!Z79</f>
        <v>0</v>
      </c>
      <c r="L80" s="100">
        <f>'BANCO DADOS-CUSTO TOTAL'!AA79</f>
        <v>30</v>
      </c>
      <c r="M80" s="383">
        <f t="shared" si="10"/>
        <v>1602.86</v>
      </c>
      <c r="N80" s="101"/>
      <c r="O80" s="422">
        <f t="shared" si="9"/>
        <v>20</v>
      </c>
      <c r="P80" s="356">
        <f>VLOOKUP(H80,PARAMETROS!E:AX,12,0)</f>
        <v>15.99</v>
      </c>
      <c r="Q80" s="426">
        <f t="shared" si="11"/>
        <v>319.8</v>
      </c>
      <c r="R80" s="426">
        <f>Q80*10%</f>
        <v>31.980000000000004</v>
      </c>
      <c r="S80" s="426">
        <f t="shared" si="12"/>
        <v>287.82</v>
      </c>
      <c r="T80" s="356"/>
      <c r="U80" s="422">
        <f>O80</f>
        <v>20</v>
      </c>
      <c r="V80" s="426">
        <f t="shared" si="13"/>
        <v>7.4</v>
      </c>
      <c r="W80" s="426">
        <f t="shared" si="14"/>
        <v>148</v>
      </c>
      <c r="X80" s="126">
        <f t="shared" si="15"/>
        <v>96.171599999999998</v>
      </c>
      <c r="Y80" s="427">
        <f t="shared" si="16"/>
        <v>51.828400000000002</v>
      </c>
      <c r="Z80" s="392"/>
      <c r="AA80" s="428"/>
      <c r="AB80" s="395"/>
      <c r="AC80" s="430"/>
      <c r="AD80" s="430"/>
      <c r="AE80" s="432"/>
      <c r="AF80" s="433"/>
      <c r="AG80" s="433"/>
    </row>
    <row r="81" spans="1:33" s="393" customFormat="1" ht="15.95" customHeight="1">
      <c r="A81" s="319">
        <f>'BANCO DADOS-CUSTO TOTAL'!A80</f>
        <v>1</v>
      </c>
      <c r="B81" s="319">
        <f>'BANCO DADOS-CUSTO TOTAL'!B80</f>
        <v>1</v>
      </c>
      <c r="C81" s="319" t="str">
        <f>'BANCO DADOS-CUSTO TOTAL'!C80</f>
        <v>Governador Valadares</v>
      </c>
      <c r="D81" s="320">
        <f>'BANCO DADOS-CUSTO TOTAL'!F80</f>
        <v>55</v>
      </c>
      <c r="E81" s="100">
        <f>'BANCO DADOS-CUSTO TOTAL'!G80</f>
        <v>12395</v>
      </c>
      <c r="F81" s="100" t="str">
        <f>'BANCO DADOS-CUSTO TOTAL'!H80</f>
        <v>BELTRANO 12395</v>
      </c>
      <c r="G81" s="100" t="str">
        <f>'BANCO DADOS-CUSTO TOTAL'!I80</f>
        <v>VIGILANTE ARMADO - 12X36 DIURNO</v>
      </c>
      <c r="H81" s="100" t="str">
        <f>'BANCO DADOS-CUSTO TOTAL'!K80</f>
        <v>Governador ValadaresVIGILANTE ARMADO - 12X36 DIURNO</v>
      </c>
      <c r="I81" s="101" t="str">
        <f>'BANCO DADOS-CUSTO TOTAL'!J80</f>
        <v>Efetivo</v>
      </c>
      <c r="J81" s="399">
        <f>'BANCO DADOS-CUSTO TOTAL'!Q80</f>
        <v>1602.86</v>
      </c>
      <c r="K81" s="539">
        <f>'BANCO DADOS-CUSTO TOTAL'!Z80</f>
        <v>0</v>
      </c>
      <c r="L81" s="100">
        <f>'BANCO DADOS-CUSTO TOTAL'!AA80</f>
        <v>30</v>
      </c>
      <c r="M81" s="383">
        <f t="shared" si="10"/>
        <v>1602.86</v>
      </c>
      <c r="N81" s="101"/>
      <c r="O81" s="422">
        <f t="shared" si="9"/>
        <v>15.5</v>
      </c>
      <c r="P81" s="356">
        <f>VLOOKUP(H81,PARAMETROS!E:AX,12,0)</f>
        <v>15.99</v>
      </c>
      <c r="Q81" s="426">
        <f t="shared" si="11"/>
        <v>247.845</v>
      </c>
      <c r="R81" s="426">
        <f>Q81*10%</f>
        <v>24.784500000000001</v>
      </c>
      <c r="S81" s="426">
        <f t="shared" si="12"/>
        <v>223.06049999999999</v>
      </c>
      <c r="T81" s="356"/>
      <c r="U81" s="422">
        <f>O81</f>
        <v>15.5</v>
      </c>
      <c r="V81" s="426">
        <f t="shared" si="13"/>
        <v>7.4</v>
      </c>
      <c r="W81" s="426">
        <f t="shared" si="14"/>
        <v>114.7</v>
      </c>
      <c r="X81" s="126">
        <f t="shared" si="15"/>
        <v>96.171599999999998</v>
      </c>
      <c r="Y81" s="427">
        <f t="shared" si="16"/>
        <v>18.528400000000005</v>
      </c>
      <c r="Z81" s="392"/>
      <c r="AA81" s="428"/>
      <c r="AB81" s="395"/>
      <c r="AC81" s="430"/>
      <c r="AD81" s="430"/>
      <c r="AE81" s="432"/>
      <c r="AF81" s="433"/>
      <c r="AG81" s="433"/>
    </row>
    <row r="82" spans="1:33" s="393" customFormat="1" ht="15.95" customHeight="1">
      <c r="A82" s="319">
        <f>'BANCO DADOS-CUSTO TOTAL'!A81</f>
        <v>1</v>
      </c>
      <c r="B82" s="319">
        <f>'BANCO DADOS-CUSTO TOTAL'!B81</f>
        <v>1</v>
      </c>
      <c r="C82" s="319" t="str">
        <f>'BANCO DADOS-CUSTO TOTAL'!C81</f>
        <v>Governador Valadares</v>
      </c>
      <c r="D82" s="320">
        <f>'BANCO DADOS-CUSTO TOTAL'!F81</f>
        <v>56</v>
      </c>
      <c r="E82" s="100">
        <f>'BANCO DADOS-CUSTO TOTAL'!G81</f>
        <v>12396</v>
      </c>
      <c r="F82" s="100" t="str">
        <f>'BANCO DADOS-CUSTO TOTAL'!H81</f>
        <v>BELTRANO 12396</v>
      </c>
      <c r="G82" s="100" t="str">
        <f>'BANCO DADOS-CUSTO TOTAL'!I81</f>
        <v>VIGILANTE ARMADO - 12X36 DIURNO</v>
      </c>
      <c r="H82" s="100" t="str">
        <f>'BANCO DADOS-CUSTO TOTAL'!K81</f>
        <v>Governador ValadaresVIGILANTE ARMADO - 12X36 DIURNO</v>
      </c>
      <c r="I82" s="101" t="str">
        <f>'BANCO DADOS-CUSTO TOTAL'!J81</f>
        <v>Efetivo</v>
      </c>
      <c r="J82" s="399">
        <f>'BANCO DADOS-CUSTO TOTAL'!Q81</f>
        <v>1602.86</v>
      </c>
      <c r="K82" s="539">
        <f>'BANCO DADOS-CUSTO TOTAL'!Z81</f>
        <v>0</v>
      </c>
      <c r="L82" s="100">
        <f>'BANCO DADOS-CUSTO TOTAL'!AA81</f>
        <v>30</v>
      </c>
      <c r="M82" s="383">
        <f t="shared" si="10"/>
        <v>1602.86</v>
      </c>
      <c r="N82" s="101"/>
      <c r="O82" s="422">
        <f t="shared" si="9"/>
        <v>15.5</v>
      </c>
      <c r="P82" s="356">
        <f>VLOOKUP(H82,PARAMETROS!E:AX,12,0)</f>
        <v>15.99</v>
      </c>
      <c r="Q82" s="426">
        <f t="shared" si="11"/>
        <v>247.845</v>
      </c>
      <c r="R82" s="426">
        <f>Q82*10%</f>
        <v>24.784500000000001</v>
      </c>
      <c r="S82" s="426">
        <f t="shared" si="12"/>
        <v>223.06049999999999</v>
      </c>
      <c r="T82" s="356"/>
      <c r="U82" s="422">
        <f>O82</f>
        <v>15.5</v>
      </c>
      <c r="V82" s="426">
        <f t="shared" si="13"/>
        <v>7.4</v>
      </c>
      <c r="W82" s="426">
        <f t="shared" si="14"/>
        <v>114.7</v>
      </c>
      <c r="X82" s="126">
        <f t="shared" si="15"/>
        <v>96.171599999999998</v>
      </c>
      <c r="Y82" s="427">
        <f t="shared" si="16"/>
        <v>18.528400000000005</v>
      </c>
      <c r="Z82" s="392"/>
      <c r="AA82" s="428"/>
      <c r="AB82" s="395"/>
      <c r="AC82" s="430"/>
      <c r="AD82" s="430"/>
      <c r="AE82" s="432"/>
      <c r="AF82" s="433"/>
      <c r="AG82" s="433"/>
    </row>
    <row r="83" spans="1:33" s="554" customFormat="1" ht="15.95" customHeight="1">
      <c r="A83" s="540"/>
      <c r="B83" s="540"/>
      <c r="C83" s="540" t="str">
        <f>'BANCO DADOS-CUSTO TOTAL'!C82</f>
        <v>TOTAL GOVERNADOR VALADARES</v>
      </c>
      <c r="D83" s="541"/>
      <c r="E83" s="542"/>
      <c r="F83" s="542"/>
      <c r="G83" s="542"/>
      <c r="H83" s="542"/>
      <c r="I83" s="543"/>
      <c r="J83" s="544"/>
      <c r="K83" s="545"/>
      <c r="L83" s="542"/>
      <c r="M83" s="460"/>
      <c r="N83" s="543"/>
      <c r="O83" s="546"/>
      <c r="P83" s="459"/>
      <c r="Q83" s="544"/>
      <c r="R83" s="544"/>
      <c r="S83" s="544"/>
      <c r="T83" s="459"/>
      <c r="U83" s="546"/>
      <c r="V83" s="544"/>
      <c r="W83" s="544"/>
      <c r="X83" s="461"/>
      <c r="Y83" s="547"/>
      <c r="Z83" s="548"/>
      <c r="AA83" s="549" t="s">
        <v>3830</v>
      </c>
      <c r="AB83" s="550"/>
      <c r="AC83" s="551"/>
      <c r="AD83" s="551"/>
      <c r="AE83" s="552"/>
      <c r="AF83" s="553"/>
      <c r="AG83" s="553"/>
    </row>
    <row r="84" spans="1:33" s="393" customFormat="1" ht="15.95" customHeight="1">
      <c r="A84" s="319">
        <f>'BANCO DADOS-CUSTO TOTAL'!A83</f>
        <v>1</v>
      </c>
      <c r="B84" s="319">
        <f>'BANCO DADOS-CUSTO TOTAL'!B83</f>
        <v>1</v>
      </c>
      <c r="C84" s="319" t="str">
        <f>'BANCO DADOS-CUSTO TOTAL'!C83</f>
        <v>Igarapé</v>
      </c>
      <c r="D84" s="320">
        <f>'BANCO DADOS-CUSTO TOTAL'!F83</f>
        <v>57</v>
      </c>
      <c r="E84" s="100">
        <f>'BANCO DADOS-CUSTO TOTAL'!G83</f>
        <v>12397</v>
      </c>
      <c r="F84" s="100" t="str">
        <f>'BANCO DADOS-CUSTO TOTAL'!H83</f>
        <v>BELTRANO 12397</v>
      </c>
      <c r="G84" s="100" t="str">
        <f>'BANCO DADOS-CUSTO TOTAL'!I83</f>
        <v>VIGILANTE ARMADO - 220 H</v>
      </c>
      <c r="H84" s="100" t="str">
        <f>'BANCO DADOS-CUSTO TOTAL'!K83</f>
        <v>IgarapéVIGILANTE ARMADO - 220 H</v>
      </c>
      <c r="I84" s="101" t="str">
        <f>'BANCO DADOS-CUSTO TOTAL'!J83</f>
        <v>Efetivo</v>
      </c>
      <c r="J84" s="399">
        <f>'BANCO DADOS-CUSTO TOTAL'!Q83</f>
        <v>1602.86</v>
      </c>
      <c r="K84" s="539">
        <f>'BANCO DADOS-CUSTO TOTAL'!Z83</f>
        <v>0</v>
      </c>
      <c r="L84" s="100">
        <f>'BANCO DADOS-CUSTO TOTAL'!AA83</f>
        <v>30</v>
      </c>
      <c r="M84" s="383">
        <f t="shared" si="10"/>
        <v>1602.86</v>
      </c>
      <c r="N84" s="101"/>
      <c r="O84" s="422">
        <f t="shared" si="9"/>
        <v>20</v>
      </c>
      <c r="P84" s="356">
        <f>VLOOKUP(H84,PARAMETROS!E:AX,12,0)</f>
        <v>15.99</v>
      </c>
      <c r="Q84" s="426">
        <f t="shared" si="11"/>
        <v>319.8</v>
      </c>
      <c r="R84" s="426">
        <f>Q84*10%</f>
        <v>31.980000000000004</v>
      </c>
      <c r="S84" s="426">
        <f t="shared" si="12"/>
        <v>287.82</v>
      </c>
      <c r="T84" s="356"/>
      <c r="U84" s="422">
        <f>O84</f>
        <v>20</v>
      </c>
      <c r="V84" s="426">
        <f t="shared" si="13"/>
        <v>7.4</v>
      </c>
      <c r="W84" s="426">
        <f t="shared" si="14"/>
        <v>148</v>
      </c>
      <c r="X84" s="126">
        <f t="shared" si="15"/>
        <v>96.171599999999998</v>
      </c>
      <c r="Y84" s="427">
        <f t="shared" si="16"/>
        <v>51.828400000000002</v>
      </c>
      <c r="Z84" s="392"/>
      <c r="AA84" s="428"/>
      <c r="AB84" s="395"/>
      <c r="AC84" s="430"/>
      <c r="AD84" s="430"/>
      <c r="AE84" s="432"/>
      <c r="AF84" s="433"/>
      <c r="AG84" s="433"/>
    </row>
    <row r="85" spans="1:33" s="554" customFormat="1" ht="15.95" customHeight="1">
      <c r="A85" s="540"/>
      <c r="B85" s="540"/>
      <c r="C85" s="540" t="str">
        <f>'BANCO DADOS-CUSTO TOTAL'!C84</f>
        <v>TOTAL IGARAPÉ</v>
      </c>
      <c r="D85" s="541"/>
      <c r="E85" s="542"/>
      <c r="F85" s="542"/>
      <c r="G85" s="542"/>
      <c r="H85" s="542"/>
      <c r="I85" s="543"/>
      <c r="J85" s="544"/>
      <c r="K85" s="545"/>
      <c r="L85" s="542"/>
      <c r="M85" s="460"/>
      <c r="N85" s="543"/>
      <c r="O85" s="546"/>
      <c r="P85" s="459"/>
      <c r="Q85" s="544"/>
      <c r="R85" s="544"/>
      <c r="S85" s="544"/>
      <c r="T85" s="459"/>
      <c r="U85" s="546"/>
      <c r="V85" s="544"/>
      <c r="W85" s="544"/>
      <c r="X85" s="461"/>
      <c r="Y85" s="547"/>
      <c r="Z85" s="548"/>
      <c r="AA85" s="549" t="s">
        <v>3830</v>
      </c>
      <c r="AB85" s="550"/>
      <c r="AC85" s="551"/>
      <c r="AD85" s="551"/>
      <c r="AE85" s="552"/>
      <c r="AF85" s="553"/>
      <c r="AG85" s="553"/>
    </row>
    <row r="86" spans="1:33" s="393" customFormat="1" ht="15.95" customHeight="1">
      <c r="A86" s="319">
        <f>'BANCO DADOS-CUSTO TOTAL'!A85</f>
        <v>1</v>
      </c>
      <c r="B86" s="319">
        <f>'BANCO DADOS-CUSTO TOTAL'!B85</f>
        <v>1</v>
      </c>
      <c r="C86" s="319" t="str">
        <f>'BANCO DADOS-CUSTO TOTAL'!C85</f>
        <v>Ipatinga</v>
      </c>
      <c r="D86" s="320">
        <f>'BANCO DADOS-CUSTO TOTAL'!F85</f>
        <v>58</v>
      </c>
      <c r="E86" s="100">
        <f>'BANCO DADOS-CUSTO TOTAL'!G85</f>
        <v>12398</v>
      </c>
      <c r="F86" s="100" t="str">
        <f>'BANCO DADOS-CUSTO TOTAL'!H85</f>
        <v>BELTRANO 12398</v>
      </c>
      <c r="G86" s="100" t="str">
        <f>'BANCO DADOS-CUSTO TOTAL'!I85</f>
        <v>VIGILANTE ARMADO - 220 H</v>
      </c>
      <c r="H86" s="100" t="str">
        <f>'BANCO DADOS-CUSTO TOTAL'!K85</f>
        <v>IpatingaVIGILANTE ARMADO - 220 H</v>
      </c>
      <c r="I86" s="101" t="str">
        <f>'BANCO DADOS-CUSTO TOTAL'!J85</f>
        <v>Efetivo</v>
      </c>
      <c r="J86" s="399">
        <f>'BANCO DADOS-CUSTO TOTAL'!Q85</f>
        <v>1602.86</v>
      </c>
      <c r="K86" s="539">
        <f>'BANCO DADOS-CUSTO TOTAL'!Z85</f>
        <v>0</v>
      </c>
      <c r="L86" s="100">
        <f>'BANCO DADOS-CUSTO TOTAL'!AA85</f>
        <v>30</v>
      </c>
      <c r="M86" s="383">
        <f t="shared" si="10"/>
        <v>1602.86</v>
      </c>
      <c r="N86" s="101"/>
      <c r="O86" s="422">
        <f t="shared" si="9"/>
        <v>20</v>
      </c>
      <c r="P86" s="356">
        <f>VLOOKUP(H86,PARAMETROS!E:AX,12,0)</f>
        <v>15.99</v>
      </c>
      <c r="Q86" s="426">
        <f t="shared" si="11"/>
        <v>319.8</v>
      </c>
      <c r="R86" s="426">
        <f>Q86*10%</f>
        <v>31.980000000000004</v>
      </c>
      <c r="S86" s="426">
        <f t="shared" si="12"/>
        <v>287.82</v>
      </c>
      <c r="T86" s="356"/>
      <c r="U86" s="422">
        <f>O86</f>
        <v>20</v>
      </c>
      <c r="V86" s="426">
        <f t="shared" si="13"/>
        <v>7.4</v>
      </c>
      <c r="W86" s="426">
        <f t="shared" si="14"/>
        <v>148</v>
      </c>
      <c r="X86" s="126">
        <f t="shared" si="15"/>
        <v>96.171599999999998</v>
      </c>
      <c r="Y86" s="427">
        <f t="shared" si="16"/>
        <v>51.828400000000002</v>
      </c>
      <c r="Z86" s="392"/>
      <c r="AA86" s="428"/>
      <c r="AB86" s="395"/>
      <c r="AC86" s="430"/>
      <c r="AD86" s="430"/>
      <c r="AE86" s="432"/>
      <c r="AF86" s="433"/>
      <c r="AG86" s="433"/>
    </row>
    <row r="87" spans="1:33" s="554" customFormat="1" ht="15.95" customHeight="1">
      <c r="A87" s="540"/>
      <c r="B87" s="540"/>
      <c r="C87" s="540" t="str">
        <f>'BANCO DADOS-CUSTO TOTAL'!C86</f>
        <v>TOTAL IPATINGA</v>
      </c>
      <c r="D87" s="541"/>
      <c r="E87" s="542"/>
      <c r="F87" s="542"/>
      <c r="G87" s="542"/>
      <c r="H87" s="542"/>
      <c r="I87" s="543"/>
      <c r="J87" s="544"/>
      <c r="K87" s="545"/>
      <c r="L87" s="542"/>
      <c r="M87" s="460"/>
      <c r="N87" s="543"/>
      <c r="O87" s="546"/>
      <c r="P87" s="459"/>
      <c r="Q87" s="544"/>
      <c r="R87" s="544"/>
      <c r="S87" s="544"/>
      <c r="T87" s="459"/>
      <c r="U87" s="546"/>
      <c r="V87" s="544"/>
      <c r="W87" s="544"/>
      <c r="X87" s="461"/>
      <c r="Y87" s="547"/>
      <c r="Z87" s="548"/>
      <c r="AA87" s="549" t="s">
        <v>3830</v>
      </c>
      <c r="AB87" s="550"/>
      <c r="AC87" s="551"/>
      <c r="AD87" s="551"/>
      <c r="AE87" s="552"/>
      <c r="AF87" s="553"/>
      <c r="AG87" s="553"/>
    </row>
    <row r="88" spans="1:33" s="393" customFormat="1" ht="15.95" customHeight="1">
      <c r="A88" s="319">
        <f>'BANCO DADOS-CUSTO TOTAL'!A87</f>
        <v>1</v>
      </c>
      <c r="B88" s="319">
        <f>'BANCO DADOS-CUSTO TOTAL'!B87</f>
        <v>1</v>
      </c>
      <c r="C88" s="319" t="str">
        <f>'BANCO DADOS-CUSTO TOTAL'!C87</f>
        <v>Ituiutaba</v>
      </c>
      <c r="D88" s="320">
        <f>'BANCO DADOS-CUSTO TOTAL'!F87</f>
        <v>59</v>
      </c>
      <c r="E88" s="100">
        <f>'BANCO DADOS-CUSTO TOTAL'!G87</f>
        <v>12399</v>
      </c>
      <c r="F88" s="100" t="str">
        <f>'BANCO DADOS-CUSTO TOTAL'!H87</f>
        <v>BELTRANO 12399</v>
      </c>
      <c r="G88" s="100" t="str">
        <f>'BANCO DADOS-CUSTO TOTAL'!I87</f>
        <v>VIGILANTE ARMADO - 220 H</v>
      </c>
      <c r="H88" s="100" t="str">
        <f>'BANCO DADOS-CUSTO TOTAL'!K87</f>
        <v>ItuiutabaVIGILANTE ARMADO - 220 H</v>
      </c>
      <c r="I88" s="101" t="str">
        <f>'BANCO DADOS-CUSTO TOTAL'!J87</f>
        <v>Efetivo</v>
      </c>
      <c r="J88" s="399">
        <f>'BANCO DADOS-CUSTO TOTAL'!Q87</f>
        <v>1602.86</v>
      </c>
      <c r="K88" s="539">
        <f>'BANCO DADOS-CUSTO TOTAL'!Z87</f>
        <v>0</v>
      </c>
      <c r="L88" s="100">
        <f>'BANCO DADOS-CUSTO TOTAL'!AA87</f>
        <v>30</v>
      </c>
      <c r="M88" s="383">
        <f t="shared" si="10"/>
        <v>1602.86</v>
      </c>
      <c r="N88" s="101"/>
      <c r="O88" s="422">
        <f t="shared" si="9"/>
        <v>20</v>
      </c>
      <c r="P88" s="356">
        <f>VLOOKUP(H88,PARAMETROS!E:AX,12,0)</f>
        <v>15.99</v>
      </c>
      <c r="Q88" s="426">
        <f t="shared" si="11"/>
        <v>319.8</v>
      </c>
      <c r="R88" s="426">
        <f>Q88*10%</f>
        <v>31.980000000000004</v>
      </c>
      <c r="S88" s="426">
        <f t="shared" si="12"/>
        <v>287.82</v>
      </c>
      <c r="T88" s="356"/>
      <c r="U88" s="422">
        <f>O88</f>
        <v>20</v>
      </c>
      <c r="V88" s="426">
        <f t="shared" si="13"/>
        <v>7.4</v>
      </c>
      <c r="W88" s="426">
        <f t="shared" si="14"/>
        <v>148</v>
      </c>
      <c r="X88" s="126">
        <f t="shared" si="15"/>
        <v>96.171599999999998</v>
      </c>
      <c r="Y88" s="427">
        <f t="shared" si="16"/>
        <v>51.828400000000002</v>
      </c>
      <c r="Z88" s="392"/>
      <c r="AA88" s="428" t="s">
        <v>3830</v>
      </c>
      <c r="AB88" s="395"/>
      <c r="AC88" s="430"/>
      <c r="AD88" s="430"/>
      <c r="AE88" s="432"/>
      <c r="AF88" s="433"/>
      <c r="AG88" s="433"/>
    </row>
    <row r="89" spans="1:33" s="554" customFormat="1" ht="15.95" customHeight="1">
      <c r="A89" s="540"/>
      <c r="B89" s="540"/>
      <c r="C89" s="540" t="str">
        <f>'BANCO DADOS-CUSTO TOTAL'!C88</f>
        <v>TOTAL ITUIUTABA</v>
      </c>
      <c r="D89" s="541"/>
      <c r="E89" s="542"/>
      <c r="F89" s="542"/>
      <c r="G89" s="542"/>
      <c r="H89" s="542"/>
      <c r="I89" s="543"/>
      <c r="J89" s="544"/>
      <c r="K89" s="545"/>
      <c r="L89" s="542"/>
      <c r="M89" s="460"/>
      <c r="N89" s="543"/>
      <c r="O89" s="546"/>
      <c r="P89" s="459"/>
      <c r="Q89" s="544"/>
      <c r="R89" s="544"/>
      <c r="S89" s="544"/>
      <c r="T89" s="459"/>
      <c r="U89" s="546"/>
      <c r="V89" s="544"/>
      <c r="W89" s="544"/>
      <c r="X89" s="461"/>
      <c r="Y89" s="547"/>
      <c r="Z89" s="548"/>
      <c r="AA89" s="549" t="s">
        <v>3830</v>
      </c>
      <c r="AB89" s="550"/>
      <c r="AC89" s="551"/>
      <c r="AD89" s="551"/>
      <c r="AE89" s="552"/>
      <c r="AF89" s="553"/>
      <c r="AG89" s="553"/>
    </row>
    <row r="90" spans="1:33" s="393" customFormat="1" ht="15.95" customHeight="1">
      <c r="A90" s="319">
        <f>'BANCO DADOS-CUSTO TOTAL'!A89</f>
        <v>1</v>
      </c>
      <c r="B90" s="319">
        <f>'BANCO DADOS-CUSTO TOTAL'!B89</f>
        <v>1</v>
      </c>
      <c r="C90" s="319" t="str">
        <f>'BANCO DADOS-CUSTO TOTAL'!C89</f>
        <v>Lavras</v>
      </c>
      <c r="D90" s="320">
        <f>'BANCO DADOS-CUSTO TOTAL'!F89</f>
        <v>60</v>
      </c>
      <c r="E90" s="100">
        <f>'BANCO DADOS-CUSTO TOTAL'!G89</f>
        <v>12400</v>
      </c>
      <c r="F90" s="100" t="str">
        <f>'BANCO DADOS-CUSTO TOTAL'!H89</f>
        <v>BELTRANO 12400</v>
      </c>
      <c r="G90" s="100" t="str">
        <f>'BANCO DADOS-CUSTO TOTAL'!I89</f>
        <v>VIGILANTE ARMADO - 220 H</v>
      </c>
      <c r="H90" s="100" t="str">
        <f>'BANCO DADOS-CUSTO TOTAL'!K89</f>
        <v>LavrasVIGILANTE ARMADO - 220 H</v>
      </c>
      <c r="I90" s="101" t="str">
        <f>'BANCO DADOS-CUSTO TOTAL'!J89</f>
        <v>Efetivo</v>
      </c>
      <c r="J90" s="399">
        <f>'BANCO DADOS-CUSTO TOTAL'!Q89</f>
        <v>1602.86</v>
      </c>
      <c r="K90" s="539">
        <f>'BANCO DADOS-CUSTO TOTAL'!Z89</f>
        <v>0</v>
      </c>
      <c r="L90" s="100">
        <f>'BANCO DADOS-CUSTO TOTAL'!AA89</f>
        <v>30</v>
      </c>
      <c r="M90" s="383">
        <f t="shared" si="10"/>
        <v>1602.86</v>
      </c>
      <c r="N90" s="101"/>
      <c r="O90" s="422">
        <f t="shared" si="9"/>
        <v>20</v>
      </c>
      <c r="P90" s="356">
        <f>VLOOKUP(H90,PARAMETROS!E:AX,12,0)</f>
        <v>15.99</v>
      </c>
      <c r="Q90" s="426">
        <f t="shared" si="11"/>
        <v>319.8</v>
      </c>
      <c r="R90" s="426">
        <f>Q90*10%</f>
        <v>31.980000000000004</v>
      </c>
      <c r="S90" s="426">
        <f t="shared" si="12"/>
        <v>287.82</v>
      </c>
      <c r="T90" s="356"/>
      <c r="U90" s="422">
        <f>O90</f>
        <v>20</v>
      </c>
      <c r="V90" s="426">
        <f t="shared" si="13"/>
        <v>7.4</v>
      </c>
      <c r="W90" s="426">
        <f t="shared" si="14"/>
        <v>148</v>
      </c>
      <c r="X90" s="126">
        <f t="shared" si="15"/>
        <v>96.171599999999998</v>
      </c>
      <c r="Y90" s="427">
        <f t="shared" si="16"/>
        <v>51.828400000000002</v>
      </c>
      <c r="Z90" s="392"/>
      <c r="AA90" s="428" t="s">
        <v>3830</v>
      </c>
      <c r="AB90" s="395"/>
      <c r="AC90" s="430"/>
      <c r="AD90" s="430"/>
      <c r="AE90" s="432"/>
      <c r="AF90" s="433"/>
      <c r="AG90" s="433"/>
    </row>
    <row r="91" spans="1:33" s="554" customFormat="1" ht="15.95" customHeight="1">
      <c r="A91" s="540"/>
      <c r="B91" s="540"/>
      <c r="C91" s="540" t="str">
        <f>'BANCO DADOS-CUSTO TOTAL'!C90</f>
        <v>TOTAL LAVRAS</v>
      </c>
      <c r="D91" s="541"/>
      <c r="E91" s="542"/>
      <c r="F91" s="542"/>
      <c r="G91" s="542"/>
      <c r="H91" s="542"/>
      <c r="I91" s="543"/>
      <c r="J91" s="544"/>
      <c r="K91" s="545"/>
      <c r="L91" s="542"/>
      <c r="M91" s="460"/>
      <c r="N91" s="543"/>
      <c r="O91" s="546"/>
      <c r="P91" s="459"/>
      <c r="Q91" s="544"/>
      <c r="R91" s="544"/>
      <c r="S91" s="544"/>
      <c r="T91" s="459"/>
      <c r="U91" s="546"/>
      <c r="V91" s="544"/>
      <c r="W91" s="544"/>
      <c r="X91" s="461"/>
      <c r="Y91" s="547"/>
      <c r="Z91" s="548"/>
      <c r="AA91" s="549" t="s">
        <v>3830</v>
      </c>
      <c r="AB91" s="550"/>
      <c r="AC91" s="551"/>
      <c r="AD91" s="551"/>
      <c r="AE91" s="552"/>
      <c r="AF91" s="553"/>
      <c r="AG91" s="553"/>
    </row>
    <row r="92" spans="1:33" s="393" customFormat="1" ht="15.95" customHeight="1">
      <c r="A92" s="319">
        <f>'BANCO DADOS-CUSTO TOTAL'!A91</f>
        <v>1</v>
      </c>
      <c r="B92" s="319">
        <f>'BANCO DADOS-CUSTO TOTAL'!B91</f>
        <v>1</v>
      </c>
      <c r="C92" s="319" t="str">
        <f>'BANCO DADOS-CUSTO TOTAL'!C91</f>
        <v>Matozinhos</v>
      </c>
      <c r="D92" s="320">
        <f>'BANCO DADOS-CUSTO TOTAL'!F91</f>
        <v>61</v>
      </c>
      <c r="E92" s="100">
        <f>'BANCO DADOS-CUSTO TOTAL'!G91</f>
        <v>12401</v>
      </c>
      <c r="F92" s="100" t="str">
        <f>'BANCO DADOS-CUSTO TOTAL'!H91</f>
        <v>BELTRANO 12401</v>
      </c>
      <c r="G92" s="100" t="str">
        <f>'BANCO DADOS-CUSTO TOTAL'!I91</f>
        <v>VIGILANTE ARMADO - 220 H</v>
      </c>
      <c r="H92" s="100" t="str">
        <f>'BANCO DADOS-CUSTO TOTAL'!K91</f>
        <v>MatozinhosVIGILANTE ARMADO - 220 H</v>
      </c>
      <c r="I92" s="101" t="str">
        <f>'BANCO DADOS-CUSTO TOTAL'!J91</f>
        <v>Efetivo</v>
      </c>
      <c r="J92" s="399">
        <f>'BANCO DADOS-CUSTO TOTAL'!Q91</f>
        <v>1602.86</v>
      </c>
      <c r="K92" s="539">
        <f>'BANCO DADOS-CUSTO TOTAL'!Z91</f>
        <v>0</v>
      </c>
      <c r="L92" s="100">
        <f>'BANCO DADOS-CUSTO TOTAL'!AA91</f>
        <v>30</v>
      </c>
      <c r="M92" s="383">
        <f t="shared" ref="M92:M110" si="17">(J92/30)*(L92-K92)</f>
        <v>1602.86</v>
      </c>
      <c r="N92" s="101"/>
      <c r="O92" s="422">
        <f t="shared" si="9"/>
        <v>20</v>
      </c>
      <c r="P92" s="356">
        <f>VLOOKUP(H92,PARAMETROS!E:AX,12,0)</f>
        <v>15.99</v>
      </c>
      <c r="Q92" s="426">
        <f t="shared" ref="Q92:Q110" si="18">O92*P92</f>
        <v>319.8</v>
      </c>
      <c r="R92" s="426">
        <f>Q92*10%</f>
        <v>31.980000000000004</v>
      </c>
      <c r="S92" s="426">
        <f t="shared" ref="S92:S110" si="19">IF(Q92&lt;1,0,Q92-R92)</f>
        <v>287.82</v>
      </c>
      <c r="T92" s="356"/>
      <c r="U92" s="422">
        <f>O92</f>
        <v>20</v>
      </c>
      <c r="V92" s="426">
        <f t="shared" ref="V92:V110" si="20">IF(C92="BELO HORIZONTE",$R$6,$T$6)</f>
        <v>7.4</v>
      </c>
      <c r="W92" s="426">
        <f t="shared" ref="W92:W110" si="21">V92*U92</f>
        <v>148</v>
      </c>
      <c r="X92" s="126">
        <f t="shared" ref="X92:X110" si="22">IF(U92&lt;20,IF(W92&lt;M92*6/100,(W92),(M92*6/100)),IF(W92&lt;J92*6/100,(W92),(J92*6/100)))</f>
        <v>96.171599999999998</v>
      </c>
      <c r="Y92" s="427">
        <f t="shared" ref="Y92:Y110" si="23">W92-X92</f>
        <v>51.828400000000002</v>
      </c>
      <c r="Z92" s="392"/>
      <c r="AA92" s="428"/>
      <c r="AB92" s="395"/>
      <c r="AC92" s="430"/>
      <c r="AD92" s="430"/>
      <c r="AE92" s="432"/>
      <c r="AF92" s="433"/>
      <c r="AG92" s="433"/>
    </row>
    <row r="93" spans="1:33" s="554" customFormat="1" ht="15.95" customHeight="1">
      <c r="A93" s="540"/>
      <c r="B93" s="540"/>
      <c r="C93" s="540" t="str">
        <f>'BANCO DADOS-CUSTO TOTAL'!C92</f>
        <v>TOTAL MATOZINHOS</v>
      </c>
      <c r="D93" s="541"/>
      <c r="E93" s="542"/>
      <c r="F93" s="542"/>
      <c r="G93" s="542"/>
      <c r="H93" s="542"/>
      <c r="I93" s="543"/>
      <c r="J93" s="544"/>
      <c r="K93" s="545"/>
      <c r="L93" s="542"/>
      <c r="M93" s="460"/>
      <c r="N93" s="543"/>
      <c r="O93" s="546"/>
      <c r="P93" s="459"/>
      <c r="Q93" s="544"/>
      <c r="R93" s="544"/>
      <c r="S93" s="544"/>
      <c r="T93" s="459"/>
      <c r="U93" s="546"/>
      <c r="V93" s="544"/>
      <c r="W93" s="544"/>
      <c r="X93" s="461"/>
      <c r="Y93" s="547"/>
      <c r="Z93" s="548"/>
      <c r="AA93" s="549" t="s">
        <v>3830</v>
      </c>
      <c r="AB93" s="550"/>
      <c r="AC93" s="551"/>
      <c r="AD93" s="551"/>
      <c r="AE93" s="552"/>
      <c r="AF93" s="553"/>
      <c r="AG93" s="553"/>
    </row>
    <row r="94" spans="1:33" s="393" customFormat="1" ht="15.95" customHeight="1">
      <c r="A94" s="319">
        <f>'BANCO DADOS-CUSTO TOTAL'!A93</f>
        <v>1</v>
      </c>
      <c r="B94" s="319">
        <f>'BANCO DADOS-CUSTO TOTAL'!B93</f>
        <v>1</v>
      </c>
      <c r="C94" s="319" t="str">
        <f>'BANCO DADOS-CUSTO TOTAL'!C93</f>
        <v>Monte Carmelo</v>
      </c>
      <c r="D94" s="320">
        <f>'BANCO DADOS-CUSTO TOTAL'!F93</f>
        <v>62</v>
      </c>
      <c r="E94" s="100">
        <f>'BANCO DADOS-CUSTO TOTAL'!G93</f>
        <v>12402</v>
      </c>
      <c r="F94" s="100" t="str">
        <f>'BANCO DADOS-CUSTO TOTAL'!H93</f>
        <v>BELTRANO 12402</v>
      </c>
      <c r="G94" s="100" t="str">
        <f>'BANCO DADOS-CUSTO TOTAL'!I93</f>
        <v>VIGILANTE ARMADO - 12X36 DIURNO</v>
      </c>
      <c r="H94" s="100" t="str">
        <f>'BANCO DADOS-CUSTO TOTAL'!K93</f>
        <v>Monte CarmeloVIGILANTE ARMADO - 12X36 DIURNO</v>
      </c>
      <c r="I94" s="101" t="str">
        <f>'BANCO DADOS-CUSTO TOTAL'!J93</f>
        <v>Efetivo</v>
      </c>
      <c r="J94" s="399">
        <f>'BANCO DADOS-CUSTO TOTAL'!Q93</f>
        <v>1602.86</v>
      </c>
      <c r="K94" s="539">
        <f>'BANCO DADOS-CUSTO TOTAL'!Z93</f>
        <v>0</v>
      </c>
      <c r="L94" s="100">
        <f>'BANCO DADOS-CUSTO TOTAL'!AA93</f>
        <v>30</v>
      </c>
      <c r="M94" s="383">
        <f t="shared" si="17"/>
        <v>1602.86</v>
      </c>
      <c r="N94" s="101"/>
      <c r="O94" s="422">
        <f t="shared" si="9"/>
        <v>15.5</v>
      </c>
      <c r="P94" s="356">
        <f>VLOOKUP(H94,PARAMETROS!E:AX,12,0)</f>
        <v>15.99</v>
      </c>
      <c r="Q94" s="426">
        <f t="shared" si="18"/>
        <v>247.845</v>
      </c>
      <c r="R94" s="426">
        <f t="shared" ref="R94:R137" si="24">Q94*10%</f>
        <v>24.784500000000001</v>
      </c>
      <c r="S94" s="426">
        <f t="shared" si="19"/>
        <v>223.06049999999999</v>
      </c>
      <c r="T94" s="356"/>
      <c r="U94" s="422">
        <f>O94</f>
        <v>15.5</v>
      </c>
      <c r="V94" s="426">
        <f t="shared" si="20"/>
        <v>7.4</v>
      </c>
      <c r="W94" s="426">
        <f t="shared" si="21"/>
        <v>114.7</v>
      </c>
      <c r="X94" s="126">
        <f t="shared" si="22"/>
        <v>96.171599999999998</v>
      </c>
      <c r="Y94" s="427">
        <f t="shared" si="23"/>
        <v>18.528400000000005</v>
      </c>
      <c r="Z94" s="392"/>
      <c r="AA94" s="428"/>
      <c r="AB94" s="395"/>
      <c r="AC94" s="430"/>
      <c r="AD94" s="430"/>
      <c r="AE94" s="432"/>
      <c r="AF94" s="433"/>
      <c r="AG94" s="433"/>
    </row>
    <row r="95" spans="1:33" s="393" customFormat="1" ht="15.95" customHeight="1">
      <c r="A95" s="319">
        <f>'BANCO DADOS-CUSTO TOTAL'!A94</f>
        <v>1</v>
      </c>
      <c r="B95" s="319">
        <f>'BANCO DADOS-CUSTO TOTAL'!B94</f>
        <v>1</v>
      </c>
      <c r="C95" s="319" t="str">
        <f>'BANCO DADOS-CUSTO TOTAL'!C94</f>
        <v>Monte Carmelo</v>
      </c>
      <c r="D95" s="320">
        <f>'BANCO DADOS-CUSTO TOTAL'!F94</f>
        <v>63</v>
      </c>
      <c r="E95" s="100">
        <f>'BANCO DADOS-CUSTO TOTAL'!G94</f>
        <v>12403</v>
      </c>
      <c r="F95" s="100" t="str">
        <f>'BANCO DADOS-CUSTO TOTAL'!H94</f>
        <v>BELTRANO 12403</v>
      </c>
      <c r="G95" s="100" t="str">
        <f>'BANCO DADOS-CUSTO TOTAL'!I94</f>
        <v>VIGILANTE ARMADO - 12X36 DIURNO</v>
      </c>
      <c r="H95" s="100" t="str">
        <f>'BANCO DADOS-CUSTO TOTAL'!K94</f>
        <v>Monte CarmeloVIGILANTE ARMADO - 12X36 DIURNO</v>
      </c>
      <c r="I95" s="101" t="str">
        <f>'BANCO DADOS-CUSTO TOTAL'!J94</f>
        <v>Efetivo</v>
      </c>
      <c r="J95" s="399">
        <f>'BANCO DADOS-CUSTO TOTAL'!Q94</f>
        <v>1602.86</v>
      </c>
      <c r="K95" s="539">
        <f>'BANCO DADOS-CUSTO TOTAL'!Z94</f>
        <v>0</v>
      </c>
      <c r="L95" s="100">
        <f>'BANCO DADOS-CUSTO TOTAL'!AA94</f>
        <v>30</v>
      </c>
      <c r="M95" s="383">
        <f t="shared" si="17"/>
        <v>1602.86</v>
      </c>
      <c r="N95" s="101"/>
      <c r="O95" s="422">
        <f>IF(G95="VIGILANTE ARMADO - 220 H",20,15.5)</f>
        <v>15.5</v>
      </c>
      <c r="P95" s="356">
        <f>VLOOKUP(H95,PARAMETROS!E:AX,12,0)</f>
        <v>15.99</v>
      </c>
      <c r="Q95" s="426">
        <f t="shared" si="18"/>
        <v>247.845</v>
      </c>
      <c r="R95" s="426">
        <f t="shared" si="24"/>
        <v>24.784500000000001</v>
      </c>
      <c r="S95" s="426">
        <f t="shared" si="19"/>
        <v>223.06049999999999</v>
      </c>
      <c r="T95" s="356"/>
      <c r="U95" s="422">
        <f>O95</f>
        <v>15.5</v>
      </c>
      <c r="V95" s="426">
        <f t="shared" si="20"/>
        <v>7.4</v>
      </c>
      <c r="W95" s="426">
        <f t="shared" si="21"/>
        <v>114.7</v>
      </c>
      <c r="X95" s="126">
        <f t="shared" si="22"/>
        <v>96.171599999999998</v>
      </c>
      <c r="Y95" s="427">
        <f t="shared" si="23"/>
        <v>18.528400000000005</v>
      </c>
      <c r="Z95" s="392"/>
      <c r="AA95" s="428"/>
      <c r="AB95" s="395"/>
      <c r="AC95" s="430"/>
      <c r="AD95" s="430"/>
      <c r="AE95" s="432"/>
      <c r="AF95" s="433"/>
      <c r="AG95" s="433"/>
    </row>
    <row r="96" spans="1:33" s="554" customFormat="1" ht="15.95" customHeight="1">
      <c r="A96" s="540"/>
      <c r="B96" s="540"/>
      <c r="C96" s="540" t="str">
        <f>'BANCO DADOS-CUSTO TOTAL'!C95</f>
        <v>TOTAL MONTE CARMELO</v>
      </c>
      <c r="D96" s="541"/>
      <c r="E96" s="542"/>
      <c r="F96" s="542"/>
      <c r="G96" s="542"/>
      <c r="H96" s="542"/>
      <c r="I96" s="543"/>
      <c r="J96" s="544"/>
      <c r="K96" s="545"/>
      <c r="L96" s="542"/>
      <c r="M96" s="460"/>
      <c r="N96" s="543"/>
      <c r="O96" s="546"/>
      <c r="P96" s="459"/>
      <c r="Q96" s="544"/>
      <c r="R96" s="544"/>
      <c r="S96" s="544"/>
      <c r="T96" s="459"/>
      <c r="U96" s="546"/>
      <c r="V96" s="544"/>
      <c r="W96" s="544"/>
      <c r="X96" s="461"/>
      <c r="Y96" s="547"/>
      <c r="Z96" s="548"/>
      <c r="AA96" s="549" t="s">
        <v>3830</v>
      </c>
      <c r="AB96" s="550"/>
      <c r="AC96" s="551"/>
      <c r="AD96" s="551"/>
      <c r="AE96" s="552"/>
      <c r="AF96" s="553"/>
      <c r="AG96" s="553"/>
    </row>
    <row r="97" spans="1:33" s="393" customFormat="1" ht="15.95" customHeight="1">
      <c r="A97" s="319">
        <f>'BANCO DADOS-CUSTO TOTAL'!A96</f>
        <v>1</v>
      </c>
      <c r="B97" s="319">
        <f>'BANCO DADOS-CUSTO TOTAL'!B96</f>
        <v>1</v>
      </c>
      <c r="C97" s="319" t="str">
        <f>'BANCO DADOS-CUSTO TOTAL'!C96</f>
        <v>Montes Claros</v>
      </c>
      <c r="D97" s="320">
        <f>'BANCO DADOS-CUSTO TOTAL'!F96</f>
        <v>64</v>
      </c>
      <c r="E97" s="100">
        <f>'BANCO DADOS-CUSTO TOTAL'!G96</f>
        <v>12404</v>
      </c>
      <c r="F97" s="100" t="str">
        <f>'BANCO DADOS-CUSTO TOTAL'!H96</f>
        <v>BELTRANO 12404</v>
      </c>
      <c r="G97" s="100" t="str">
        <f>'BANCO DADOS-CUSTO TOTAL'!I96</f>
        <v>VIGILANTE ARMADO - 12X36 DIURNO</v>
      </c>
      <c r="H97" s="100" t="str">
        <f>'BANCO DADOS-CUSTO TOTAL'!K96</f>
        <v>Montes ClarosVIGILANTE ARMADO - 12X36 DIURNO</v>
      </c>
      <c r="I97" s="101" t="str">
        <f>'BANCO DADOS-CUSTO TOTAL'!J96</f>
        <v>Efetivo</v>
      </c>
      <c r="J97" s="399">
        <f>'BANCO DADOS-CUSTO TOTAL'!Q96</f>
        <v>1602.86</v>
      </c>
      <c r="K97" s="539">
        <f>'BANCO DADOS-CUSTO TOTAL'!Z96</f>
        <v>0</v>
      </c>
      <c r="L97" s="100">
        <f>'BANCO DADOS-CUSTO TOTAL'!AA96</f>
        <v>30</v>
      </c>
      <c r="M97" s="383">
        <f t="shared" si="17"/>
        <v>1602.86</v>
      </c>
      <c r="N97" s="101"/>
      <c r="O97" s="422">
        <f>IF(G97="VIGILANTE ARMADO - 220 H",20,15.5)</f>
        <v>15.5</v>
      </c>
      <c r="P97" s="356">
        <f>VLOOKUP(H97,PARAMETROS!E:AX,12,0)</f>
        <v>15.99</v>
      </c>
      <c r="Q97" s="426">
        <f t="shared" si="18"/>
        <v>247.845</v>
      </c>
      <c r="R97" s="426">
        <f t="shared" si="24"/>
        <v>24.784500000000001</v>
      </c>
      <c r="S97" s="426">
        <f t="shared" si="19"/>
        <v>223.06049999999999</v>
      </c>
      <c r="T97" s="356"/>
      <c r="U97" s="422">
        <f>O97</f>
        <v>15.5</v>
      </c>
      <c r="V97" s="426">
        <f t="shared" si="20"/>
        <v>7.4</v>
      </c>
      <c r="W97" s="426">
        <f t="shared" si="21"/>
        <v>114.7</v>
      </c>
      <c r="X97" s="126">
        <f t="shared" si="22"/>
        <v>96.171599999999998</v>
      </c>
      <c r="Y97" s="427">
        <f t="shared" si="23"/>
        <v>18.528400000000005</v>
      </c>
      <c r="Z97" s="392"/>
      <c r="AA97" s="428"/>
      <c r="AB97" s="395"/>
      <c r="AC97" s="430"/>
      <c r="AD97" s="430"/>
      <c r="AE97" s="432"/>
      <c r="AF97" s="433"/>
      <c r="AG97" s="433"/>
    </row>
    <row r="98" spans="1:33" s="393" customFormat="1" ht="15.95" customHeight="1">
      <c r="A98" s="319">
        <f>'BANCO DADOS-CUSTO TOTAL'!A97</f>
        <v>1</v>
      </c>
      <c r="B98" s="319">
        <f>'BANCO DADOS-CUSTO TOTAL'!B97</f>
        <v>1</v>
      </c>
      <c r="C98" s="319" t="str">
        <f>'BANCO DADOS-CUSTO TOTAL'!C97</f>
        <v>Montes Claros</v>
      </c>
      <c r="D98" s="320">
        <f>'BANCO DADOS-CUSTO TOTAL'!F97</f>
        <v>65</v>
      </c>
      <c r="E98" s="100">
        <f>'BANCO DADOS-CUSTO TOTAL'!G97</f>
        <v>12405</v>
      </c>
      <c r="F98" s="100" t="str">
        <f>'BANCO DADOS-CUSTO TOTAL'!H97</f>
        <v>BELTRANO 12405</v>
      </c>
      <c r="G98" s="100" t="str">
        <f>'BANCO DADOS-CUSTO TOTAL'!I97</f>
        <v>VIGILANTE ARMADO - 12X36 DIURNO</v>
      </c>
      <c r="H98" s="100" t="str">
        <f>'BANCO DADOS-CUSTO TOTAL'!K97</f>
        <v>Montes ClarosVIGILANTE ARMADO - 12X36 DIURNO</v>
      </c>
      <c r="I98" s="101" t="str">
        <f>'BANCO DADOS-CUSTO TOTAL'!J97</f>
        <v>Efetivo</v>
      </c>
      <c r="J98" s="399">
        <f>'BANCO DADOS-CUSTO TOTAL'!Q97</f>
        <v>1602.86</v>
      </c>
      <c r="K98" s="539">
        <f>'BANCO DADOS-CUSTO TOTAL'!Z97</f>
        <v>0</v>
      </c>
      <c r="L98" s="100">
        <f>'BANCO DADOS-CUSTO TOTAL'!AA97</f>
        <v>30</v>
      </c>
      <c r="M98" s="383">
        <f t="shared" si="17"/>
        <v>1602.86</v>
      </c>
      <c r="N98" s="101"/>
      <c r="O98" s="422">
        <f>IF(G98="VIGILANTE ARMADO - 220 H",20,15.5)</f>
        <v>15.5</v>
      </c>
      <c r="P98" s="356">
        <f>VLOOKUP(H98,PARAMETROS!E:AX,12,0)</f>
        <v>15.99</v>
      </c>
      <c r="Q98" s="426">
        <f t="shared" si="18"/>
        <v>247.845</v>
      </c>
      <c r="R98" s="426">
        <f t="shared" si="24"/>
        <v>24.784500000000001</v>
      </c>
      <c r="S98" s="426">
        <f t="shared" si="19"/>
        <v>223.06049999999999</v>
      </c>
      <c r="T98" s="356"/>
      <c r="U98" s="422">
        <f>O98</f>
        <v>15.5</v>
      </c>
      <c r="V98" s="426">
        <f t="shared" si="20"/>
        <v>7.4</v>
      </c>
      <c r="W98" s="426">
        <f t="shared" si="21"/>
        <v>114.7</v>
      </c>
      <c r="X98" s="126">
        <f t="shared" si="22"/>
        <v>96.171599999999998</v>
      </c>
      <c r="Y98" s="427">
        <f t="shared" si="23"/>
        <v>18.528400000000005</v>
      </c>
      <c r="Z98" s="392"/>
      <c r="AA98" s="428"/>
      <c r="AB98" s="395"/>
      <c r="AC98" s="430"/>
      <c r="AD98" s="430"/>
      <c r="AE98" s="432"/>
      <c r="AF98" s="433"/>
      <c r="AG98" s="433"/>
    </row>
    <row r="99" spans="1:33" s="393" customFormat="1" ht="15.95" customHeight="1">
      <c r="A99" s="319">
        <f>'BANCO DADOS-CUSTO TOTAL'!A98</f>
        <v>1</v>
      </c>
      <c r="B99" s="319">
        <f>'BANCO DADOS-CUSTO TOTAL'!B98</f>
        <v>1</v>
      </c>
      <c r="C99" s="319" t="str">
        <f>'BANCO DADOS-CUSTO TOTAL'!C98</f>
        <v>Montes Claros</v>
      </c>
      <c r="D99" s="320">
        <f>'BANCO DADOS-CUSTO TOTAL'!F98</f>
        <v>66</v>
      </c>
      <c r="E99" s="100">
        <f>'BANCO DADOS-CUSTO TOTAL'!G98</f>
        <v>12406</v>
      </c>
      <c r="F99" s="100" t="str">
        <f>'BANCO DADOS-CUSTO TOTAL'!H98</f>
        <v>BELTRANO 12406</v>
      </c>
      <c r="G99" s="100" t="str">
        <f>'BANCO DADOS-CUSTO TOTAL'!I98</f>
        <v>VIGILANTE ARMADO - 12X36 NOTURNO</v>
      </c>
      <c r="H99" s="100" t="str">
        <f>'BANCO DADOS-CUSTO TOTAL'!K98</f>
        <v>Montes ClarosVIGILANTE ARMADO - 12X36 NOTURNO</v>
      </c>
      <c r="I99" s="101" t="str">
        <f>'BANCO DADOS-CUSTO TOTAL'!J98</f>
        <v>Efetivo</v>
      </c>
      <c r="J99" s="399">
        <f>'BANCO DADOS-CUSTO TOTAL'!Q98</f>
        <v>1602.86</v>
      </c>
      <c r="K99" s="539">
        <f>'BANCO DADOS-CUSTO TOTAL'!Z98</f>
        <v>0</v>
      </c>
      <c r="L99" s="100">
        <f>'BANCO DADOS-CUSTO TOTAL'!AA98</f>
        <v>30</v>
      </c>
      <c r="M99" s="383">
        <f t="shared" si="17"/>
        <v>1602.86</v>
      </c>
      <c r="N99" s="101"/>
      <c r="O99" s="422">
        <f>IF(G99="VIGILANTE ARMADO - 220 H",20,15.5)</f>
        <v>15.5</v>
      </c>
      <c r="P99" s="356">
        <f>VLOOKUP(H99,PARAMETROS!E:AX,12,0)</f>
        <v>15.99</v>
      </c>
      <c r="Q99" s="426">
        <f t="shared" si="18"/>
        <v>247.845</v>
      </c>
      <c r="R99" s="426">
        <f t="shared" si="24"/>
        <v>24.784500000000001</v>
      </c>
      <c r="S99" s="426">
        <f t="shared" si="19"/>
        <v>223.06049999999999</v>
      </c>
      <c r="T99" s="356"/>
      <c r="U99" s="422">
        <f>O99</f>
        <v>15.5</v>
      </c>
      <c r="V99" s="426">
        <f t="shared" si="20"/>
        <v>7.4</v>
      </c>
      <c r="W99" s="426">
        <f t="shared" si="21"/>
        <v>114.7</v>
      </c>
      <c r="X99" s="126">
        <f t="shared" si="22"/>
        <v>96.171599999999998</v>
      </c>
      <c r="Y99" s="427">
        <f t="shared" si="23"/>
        <v>18.528400000000005</v>
      </c>
      <c r="Z99" s="392"/>
      <c r="AA99" s="428"/>
      <c r="AB99" s="395"/>
      <c r="AC99" s="430"/>
      <c r="AD99" s="430"/>
      <c r="AE99" s="432"/>
      <c r="AF99" s="433"/>
      <c r="AG99" s="433"/>
    </row>
    <row r="100" spans="1:33" s="393" customFormat="1" ht="15.95" customHeight="1">
      <c r="A100" s="319">
        <f>'BANCO DADOS-CUSTO TOTAL'!A99</f>
        <v>1</v>
      </c>
      <c r="B100" s="319">
        <f>'BANCO DADOS-CUSTO TOTAL'!B99</f>
        <v>1</v>
      </c>
      <c r="C100" s="319" t="str">
        <f>'BANCO DADOS-CUSTO TOTAL'!C99</f>
        <v>Montes Claros</v>
      </c>
      <c r="D100" s="320">
        <f>'BANCO DADOS-CUSTO TOTAL'!F99</f>
        <v>67</v>
      </c>
      <c r="E100" s="100">
        <f>'BANCO DADOS-CUSTO TOTAL'!G99</f>
        <v>12407</v>
      </c>
      <c r="F100" s="100" t="str">
        <f>'BANCO DADOS-CUSTO TOTAL'!H99</f>
        <v>BELTRANO 12407</v>
      </c>
      <c r="G100" s="100" t="str">
        <f>'BANCO DADOS-CUSTO TOTAL'!I99</f>
        <v>VIGILANTE ARMADO - 12X36 NOTURNO</v>
      </c>
      <c r="H100" s="100" t="str">
        <f>'BANCO DADOS-CUSTO TOTAL'!K99</f>
        <v>Montes ClarosVIGILANTE ARMADO - 12X36 NOTURNO</v>
      </c>
      <c r="I100" s="101" t="str">
        <f>'BANCO DADOS-CUSTO TOTAL'!J99</f>
        <v>Efetivo</v>
      </c>
      <c r="J100" s="399">
        <f>'BANCO DADOS-CUSTO TOTAL'!Q99</f>
        <v>1602.86</v>
      </c>
      <c r="K100" s="539">
        <f>'BANCO DADOS-CUSTO TOTAL'!Z99</f>
        <v>0</v>
      </c>
      <c r="L100" s="100">
        <f>'BANCO DADOS-CUSTO TOTAL'!AA99</f>
        <v>30</v>
      </c>
      <c r="M100" s="383">
        <f t="shared" si="17"/>
        <v>1602.86</v>
      </c>
      <c r="N100" s="101"/>
      <c r="O100" s="422">
        <f>IF(G100="VIGILANTE ARMADO - 220 H",20,15.5)</f>
        <v>15.5</v>
      </c>
      <c r="P100" s="356">
        <f>VLOOKUP(H100,PARAMETROS!E:AX,12,0)</f>
        <v>15.99</v>
      </c>
      <c r="Q100" s="426">
        <f t="shared" si="18"/>
        <v>247.845</v>
      </c>
      <c r="R100" s="426">
        <f t="shared" si="24"/>
        <v>24.784500000000001</v>
      </c>
      <c r="S100" s="426">
        <f t="shared" si="19"/>
        <v>223.06049999999999</v>
      </c>
      <c r="T100" s="356"/>
      <c r="U100" s="422">
        <f>O100</f>
        <v>15.5</v>
      </c>
      <c r="V100" s="426">
        <f t="shared" si="20"/>
        <v>7.4</v>
      </c>
      <c r="W100" s="426">
        <f t="shared" si="21"/>
        <v>114.7</v>
      </c>
      <c r="X100" s="126">
        <f t="shared" si="22"/>
        <v>96.171599999999998</v>
      </c>
      <c r="Y100" s="427">
        <f t="shared" si="23"/>
        <v>18.528400000000005</v>
      </c>
      <c r="Z100" s="392"/>
      <c r="AA100" s="428"/>
      <c r="AB100" s="395"/>
      <c r="AC100" s="430"/>
      <c r="AD100" s="430"/>
      <c r="AE100" s="432"/>
      <c r="AF100" s="433"/>
      <c r="AG100" s="433"/>
    </row>
    <row r="101" spans="1:33" s="554" customFormat="1" ht="15.95" customHeight="1">
      <c r="A101" s="540"/>
      <c r="B101" s="540"/>
      <c r="C101" s="540" t="str">
        <f>'BANCO DADOS-CUSTO TOTAL'!C100</f>
        <v>TOTAL MONTES CLAROS</v>
      </c>
      <c r="D101" s="541"/>
      <c r="E101" s="542"/>
      <c r="F101" s="542"/>
      <c r="G101" s="542"/>
      <c r="H101" s="542"/>
      <c r="I101" s="543"/>
      <c r="J101" s="544"/>
      <c r="K101" s="545"/>
      <c r="L101" s="542"/>
      <c r="M101" s="460"/>
      <c r="N101" s="543"/>
      <c r="O101" s="546"/>
      <c r="P101" s="459"/>
      <c r="Q101" s="544"/>
      <c r="R101" s="544"/>
      <c r="S101" s="544"/>
      <c r="T101" s="459"/>
      <c r="U101" s="546"/>
      <c r="V101" s="544"/>
      <c r="W101" s="544"/>
      <c r="X101" s="461"/>
      <c r="Y101" s="547"/>
      <c r="Z101" s="548"/>
      <c r="AA101" s="549" t="s">
        <v>3830</v>
      </c>
      <c r="AB101" s="550"/>
      <c r="AC101" s="551"/>
      <c r="AD101" s="551"/>
      <c r="AE101" s="552"/>
      <c r="AF101" s="553"/>
      <c r="AG101" s="553"/>
    </row>
    <row r="102" spans="1:33" s="393" customFormat="1" ht="15.95" customHeight="1">
      <c r="A102" s="319">
        <f>'BANCO DADOS-CUSTO TOTAL'!A101</f>
        <v>1</v>
      </c>
      <c r="B102" s="319">
        <f>'BANCO DADOS-CUSTO TOTAL'!B101</f>
        <v>1</v>
      </c>
      <c r="C102" s="319" t="str">
        <f>'BANCO DADOS-CUSTO TOTAL'!C101</f>
        <v>Nova Lima</v>
      </c>
      <c r="D102" s="320">
        <f>'BANCO DADOS-CUSTO TOTAL'!F101</f>
        <v>68</v>
      </c>
      <c r="E102" s="100">
        <f>'BANCO DADOS-CUSTO TOTAL'!G101</f>
        <v>12408</v>
      </c>
      <c r="F102" s="100" t="str">
        <f>'BANCO DADOS-CUSTO TOTAL'!H101</f>
        <v>BELTRANO 12408</v>
      </c>
      <c r="G102" s="100" t="str">
        <f>'BANCO DADOS-CUSTO TOTAL'!I101</f>
        <v>VIGILANTE ARMADO - 12X36 DIURNO</v>
      </c>
      <c r="H102" s="100" t="str">
        <f>'BANCO DADOS-CUSTO TOTAL'!K101</f>
        <v>Nova LimaVIGILANTE ARMADO - 12X36 DIURNO</v>
      </c>
      <c r="I102" s="101" t="str">
        <f>'BANCO DADOS-CUSTO TOTAL'!J101</f>
        <v>Efetivo</v>
      </c>
      <c r="J102" s="399">
        <f>'BANCO DADOS-CUSTO TOTAL'!Q101</f>
        <v>1602.86</v>
      </c>
      <c r="K102" s="539">
        <f>'BANCO DADOS-CUSTO TOTAL'!Z101</f>
        <v>0</v>
      </c>
      <c r="L102" s="100">
        <f>'BANCO DADOS-CUSTO TOTAL'!AA101</f>
        <v>30</v>
      </c>
      <c r="M102" s="383">
        <f t="shared" si="17"/>
        <v>1602.86</v>
      </c>
      <c r="N102" s="101"/>
      <c r="O102" s="422">
        <f>IF(G102="VIGILANTE ARMADO - 220 H",20,15.5)</f>
        <v>15.5</v>
      </c>
      <c r="P102" s="356">
        <f>VLOOKUP(H102,PARAMETROS!E:AX,12,0)</f>
        <v>15.99</v>
      </c>
      <c r="Q102" s="426">
        <f t="shared" si="18"/>
        <v>247.845</v>
      </c>
      <c r="R102" s="426">
        <f t="shared" si="24"/>
        <v>24.784500000000001</v>
      </c>
      <c r="S102" s="426">
        <f t="shared" si="19"/>
        <v>223.06049999999999</v>
      </c>
      <c r="T102" s="356"/>
      <c r="U102" s="422">
        <f>O102</f>
        <v>15.5</v>
      </c>
      <c r="V102" s="426">
        <f t="shared" si="20"/>
        <v>7.4</v>
      </c>
      <c r="W102" s="426">
        <f t="shared" si="21"/>
        <v>114.7</v>
      </c>
      <c r="X102" s="126">
        <f t="shared" si="22"/>
        <v>96.171599999999998</v>
      </c>
      <c r="Y102" s="427">
        <f t="shared" si="23"/>
        <v>18.528400000000005</v>
      </c>
      <c r="Z102" s="392"/>
      <c r="AA102" s="428"/>
      <c r="AB102" s="395"/>
      <c r="AC102" s="430"/>
      <c r="AD102" s="430"/>
      <c r="AE102" s="432"/>
      <c r="AF102" s="433"/>
      <c r="AG102" s="433"/>
    </row>
    <row r="103" spans="1:33" s="393" customFormat="1" ht="15.95" customHeight="1">
      <c r="A103" s="319">
        <f>'BANCO DADOS-CUSTO TOTAL'!A102</f>
        <v>1</v>
      </c>
      <c r="B103" s="319">
        <f>'BANCO DADOS-CUSTO TOTAL'!B102</f>
        <v>1</v>
      </c>
      <c r="C103" s="319" t="str">
        <f>'BANCO DADOS-CUSTO TOTAL'!C102</f>
        <v>Nova Lima</v>
      </c>
      <c r="D103" s="320">
        <f>'BANCO DADOS-CUSTO TOTAL'!F102</f>
        <v>69</v>
      </c>
      <c r="E103" s="100">
        <f>'BANCO DADOS-CUSTO TOTAL'!G102</f>
        <v>12409</v>
      </c>
      <c r="F103" s="100" t="str">
        <f>'BANCO DADOS-CUSTO TOTAL'!H102</f>
        <v>BELTRANO 12409</v>
      </c>
      <c r="G103" s="100" t="str">
        <f>'BANCO DADOS-CUSTO TOTAL'!I102</f>
        <v>VIGILANTE ARMADO - 12X36 DIURNO</v>
      </c>
      <c r="H103" s="100" t="str">
        <f>'BANCO DADOS-CUSTO TOTAL'!K102</f>
        <v>Nova LimaVIGILANTE ARMADO - 12X36 DIURNO</v>
      </c>
      <c r="I103" s="101" t="str">
        <f>'BANCO DADOS-CUSTO TOTAL'!J102</f>
        <v>Efetivo</v>
      </c>
      <c r="J103" s="399">
        <f>'BANCO DADOS-CUSTO TOTAL'!Q102</f>
        <v>1602.86</v>
      </c>
      <c r="K103" s="539">
        <f>'BANCO DADOS-CUSTO TOTAL'!Z102</f>
        <v>0</v>
      </c>
      <c r="L103" s="100">
        <f>'BANCO DADOS-CUSTO TOTAL'!AA102</f>
        <v>30</v>
      </c>
      <c r="M103" s="383">
        <f t="shared" si="17"/>
        <v>1602.86</v>
      </c>
      <c r="N103" s="101"/>
      <c r="O103" s="422">
        <f>IF(G103="VIGILANTE ARMADO - 220 H",20,15.5)</f>
        <v>15.5</v>
      </c>
      <c r="P103" s="356">
        <f>VLOOKUP(H103,PARAMETROS!E:AX,12,0)</f>
        <v>15.99</v>
      </c>
      <c r="Q103" s="426">
        <f t="shared" si="18"/>
        <v>247.845</v>
      </c>
      <c r="R103" s="426">
        <f t="shared" si="24"/>
        <v>24.784500000000001</v>
      </c>
      <c r="S103" s="426">
        <f t="shared" si="19"/>
        <v>223.06049999999999</v>
      </c>
      <c r="T103" s="356"/>
      <c r="U103" s="422">
        <f>O103</f>
        <v>15.5</v>
      </c>
      <c r="V103" s="426">
        <f t="shared" si="20"/>
        <v>7.4</v>
      </c>
      <c r="W103" s="426">
        <f t="shared" si="21"/>
        <v>114.7</v>
      </c>
      <c r="X103" s="126">
        <f t="shared" si="22"/>
        <v>96.171599999999998</v>
      </c>
      <c r="Y103" s="427">
        <f t="shared" si="23"/>
        <v>18.528400000000005</v>
      </c>
      <c r="Z103" s="392"/>
      <c r="AA103" s="428"/>
      <c r="AB103" s="395"/>
      <c r="AC103" s="430"/>
      <c r="AD103" s="430"/>
      <c r="AE103" s="432"/>
      <c r="AF103" s="433"/>
      <c r="AG103" s="433"/>
    </row>
    <row r="104" spans="1:33" s="554" customFormat="1" ht="15.95" customHeight="1">
      <c r="A104" s="540"/>
      <c r="B104" s="540"/>
      <c r="C104" s="540" t="str">
        <f>'BANCO DADOS-CUSTO TOTAL'!C103</f>
        <v>TOTAL NOVA LIMA</v>
      </c>
      <c r="D104" s="541"/>
      <c r="E104" s="542"/>
      <c r="F104" s="542"/>
      <c r="G104" s="542"/>
      <c r="H104" s="542"/>
      <c r="I104" s="543"/>
      <c r="J104" s="544"/>
      <c r="K104" s="545"/>
      <c r="L104" s="542"/>
      <c r="M104" s="460"/>
      <c r="N104" s="543"/>
      <c r="O104" s="546"/>
      <c r="P104" s="459"/>
      <c r="Q104" s="544"/>
      <c r="R104" s="544"/>
      <c r="S104" s="544"/>
      <c r="T104" s="459"/>
      <c r="U104" s="546"/>
      <c r="V104" s="544"/>
      <c r="W104" s="544"/>
      <c r="X104" s="461"/>
      <c r="Y104" s="547"/>
      <c r="Z104" s="548"/>
      <c r="AA104" s="549" t="s">
        <v>3830</v>
      </c>
      <c r="AB104" s="550"/>
      <c r="AC104" s="551"/>
      <c r="AD104" s="551"/>
      <c r="AE104" s="552"/>
      <c r="AF104" s="553"/>
      <c r="AG104" s="553"/>
    </row>
    <row r="105" spans="1:33" s="393" customFormat="1" ht="15.95" customHeight="1">
      <c r="A105" s="319">
        <f>'BANCO DADOS-CUSTO TOTAL'!A104</f>
        <v>1</v>
      </c>
      <c r="B105" s="319">
        <f>'BANCO DADOS-CUSTO TOTAL'!B104</f>
        <v>1</v>
      </c>
      <c r="C105" s="319" t="str">
        <f>'BANCO DADOS-CUSTO TOTAL'!C104</f>
        <v>Porteirinha</v>
      </c>
      <c r="D105" s="320">
        <f>'BANCO DADOS-CUSTO TOTAL'!F104</f>
        <v>70</v>
      </c>
      <c r="E105" s="100">
        <f>'BANCO DADOS-CUSTO TOTAL'!G104</f>
        <v>12410</v>
      </c>
      <c r="F105" s="100" t="str">
        <f>'BANCO DADOS-CUSTO TOTAL'!H104</f>
        <v>BELTRANO 12410</v>
      </c>
      <c r="G105" s="100" t="str">
        <f>'BANCO DADOS-CUSTO TOTAL'!I104</f>
        <v>VIGILANTE ARMADO - 220 H</v>
      </c>
      <c r="H105" s="100" t="str">
        <f>'BANCO DADOS-CUSTO TOTAL'!K104</f>
        <v>PorteirinhaVIGILANTE ARMADO - 220 H</v>
      </c>
      <c r="I105" s="101" t="str">
        <f>'BANCO DADOS-CUSTO TOTAL'!J104</f>
        <v>Efetivo</v>
      </c>
      <c r="J105" s="399">
        <f>'BANCO DADOS-CUSTO TOTAL'!Q104</f>
        <v>1602.86</v>
      </c>
      <c r="K105" s="539">
        <f>'BANCO DADOS-CUSTO TOTAL'!Z104</f>
        <v>0</v>
      </c>
      <c r="L105" s="100">
        <f>'BANCO DADOS-CUSTO TOTAL'!AA104</f>
        <v>30</v>
      </c>
      <c r="M105" s="383">
        <f t="shared" si="17"/>
        <v>1602.86</v>
      </c>
      <c r="N105" s="101"/>
      <c r="O105" s="422">
        <f>IF(G105="VIGILANTE ARMADO - 220 H",20,15.5)</f>
        <v>20</v>
      </c>
      <c r="P105" s="356">
        <f>VLOOKUP(H105,PARAMETROS!E:AX,12,0)</f>
        <v>15.99</v>
      </c>
      <c r="Q105" s="426">
        <f t="shared" si="18"/>
        <v>319.8</v>
      </c>
      <c r="R105" s="426">
        <f t="shared" si="24"/>
        <v>31.980000000000004</v>
      </c>
      <c r="S105" s="426">
        <f t="shared" si="19"/>
        <v>287.82</v>
      </c>
      <c r="T105" s="356"/>
      <c r="U105" s="422">
        <f>O105</f>
        <v>20</v>
      </c>
      <c r="V105" s="426">
        <f t="shared" si="20"/>
        <v>7.4</v>
      </c>
      <c r="W105" s="426">
        <f t="shared" si="21"/>
        <v>148</v>
      </c>
      <c r="X105" s="126">
        <f t="shared" si="22"/>
        <v>96.171599999999998</v>
      </c>
      <c r="Y105" s="427">
        <f t="shared" si="23"/>
        <v>51.828400000000002</v>
      </c>
      <c r="Z105" s="392"/>
      <c r="AA105" s="428" t="s">
        <v>3830</v>
      </c>
      <c r="AB105" s="395"/>
      <c r="AC105" s="430"/>
      <c r="AD105" s="430"/>
      <c r="AE105" s="432"/>
      <c r="AF105" s="433"/>
      <c r="AG105" s="433"/>
    </row>
    <row r="106" spans="1:33" s="554" customFormat="1" ht="15.95" customHeight="1">
      <c r="A106" s="540"/>
      <c r="B106" s="540"/>
      <c r="C106" s="540" t="str">
        <f>'BANCO DADOS-CUSTO TOTAL'!C105</f>
        <v>TOTAL PORTEIRINHA</v>
      </c>
      <c r="D106" s="541"/>
      <c r="E106" s="542"/>
      <c r="F106" s="542"/>
      <c r="G106" s="542"/>
      <c r="H106" s="542"/>
      <c r="I106" s="543"/>
      <c r="J106" s="544"/>
      <c r="K106" s="545"/>
      <c r="L106" s="542"/>
      <c r="M106" s="460"/>
      <c r="N106" s="543"/>
      <c r="O106" s="546"/>
      <c r="P106" s="459"/>
      <c r="Q106" s="544"/>
      <c r="R106" s="544"/>
      <c r="S106" s="544"/>
      <c r="T106" s="459"/>
      <c r="U106" s="546"/>
      <c r="V106" s="544"/>
      <c r="W106" s="544"/>
      <c r="X106" s="461"/>
      <c r="Y106" s="547"/>
      <c r="Z106" s="548"/>
      <c r="AA106" s="549" t="s">
        <v>3830</v>
      </c>
      <c r="AB106" s="550"/>
      <c r="AC106" s="551"/>
      <c r="AD106" s="551"/>
      <c r="AE106" s="552"/>
      <c r="AF106" s="553"/>
      <c r="AG106" s="553"/>
    </row>
    <row r="107" spans="1:33" s="393" customFormat="1" ht="15.95" customHeight="1">
      <c r="A107" s="319">
        <f>'BANCO DADOS-CUSTO TOTAL'!A106</f>
        <v>1</v>
      </c>
      <c r="B107" s="319">
        <f>'BANCO DADOS-CUSTO TOTAL'!B106</f>
        <v>1</v>
      </c>
      <c r="C107" s="319" t="str">
        <f>'BANCO DADOS-CUSTO TOTAL'!C106</f>
        <v>Pouso Alegre</v>
      </c>
      <c r="D107" s="320">
        <f>'BANCO DADOS-CUSTO TOTAL'!F106</f>
        <v>71</v>
      </c>
      <c r="E107" s="100">
        <f>'BANCO DADOS-CUSTO TOTAL'!G106</f>
        <v>12411</v>
      </c>
      <c r="F107" s="100" t="str">
        <f>'BANCO DADOS-CUSTO TOTAL'!H106</f>
        <v>BELTRANO 12411</v>
      </c>
      <c r="G107" s="100" t="str">
        <f>'BANCO DADOS-CUSTO TOTAL'!I106</f>
        <v>VIGILANTE ARMADO - 12X36 DIURNO</v>
      </c>
      <c r="H107" s="100" t="str">
        <f>'BANCO DADOS-CUSTO TOTAL'!K106</f>
        <v>Pouso AlegreVIGILANTE ARMADO - 12X36 DIURNO</v>
      </c>
      <c r="I107" s="101" t="str">
        <f>'BANCO DADOS-CUSTO TOTAL'!J106</f>
        <v>Efetivo</v>
      </c>
      <c r="J107" s="399">
        <f>'BANCO DADOS-CUSTO TOTAL'!Q106</f>
        <v>1602.86</v>
      </c>
      <c r="K107" s="539">
        <f>'BANCO DADOS-CUSTO TOTAL'!Z106</f>
        <v>0</v>
      </c>
      <c r="L107" s="100">
        <f>'BANCO DADOS-CUSTO TOTAL'!AA106</f>
        <v>30</v>
      </c>
      <c r="M107" s="383">
        <f t="shared" si="17"/>
        <v>1602.86</v>
      </c>
      <c r="N107" s="101"/>
      <c r="O107" s="422">
        <f>IF(G107="VIGILANTE ARMADO - 220 H",20,15.5)</f>
        <v>15.5</v>
      </c>
      <c r="P107" s="356">
        <f>VLOOKUP(H107,PARAMETROS!E:AX,12,0)</f>
        <v>15.99</v>
      </c>
      <c r="Q107" s="426">
        <f t="shared" si="18"/>
        <v>247.845</v>
      </c>
      <c r="R107" s="426">
        <f t="shared" si="24"/>
        <v>24.784500000000001</v>
      </c>
      <c r="S107" s="426">
        <f t="shared" si="19"/>
        <v>223.06049999999999</v>
      </c>
      <c r="T107" s="356"/>
      <c r="U107" s="422">
        <f>O107</f>
        <v>15.5</v>
      </c>
      <c r="V107" s="426">
        <f t="shared" si="20"/>
        <v>7.4</v>
      </c>
      <c r="W107" s="426">
        <f t="shared" si="21"/>
        <v>114.7</v>
      </c>
      <c r="X107" s="126">
        <f t="shared" si="22"/>
        <v>96.171599999999998</v>
      </c>
      <c r="Y107" s="427">
        <f t="shared" si="23"/>
        <v>18.528400000000005</v>
      </c>
      <c r="Z107" s="392"/>
      <c r="AA107" s="428" t="s">
        <v>3830</v>
      </c>
      <c r="AB107" s="395"/>
      <c r="AC107" s="430"/>
      <c r="AD107" s="430"/>
      <c r="AE107" s="432"/>
      <c r="AF107" s="433"/>
      <c r="AG107" s="433"/>
    </row>
    <row r="108" spans="1:33" s="393" customFormat="1" ht="15.95" customHeight="1">
      <c r="A108" s="319">
        <f>'BANCO DADOS-CUSTO TOTAL'!A107</f>
        <v>1</v>
      </c>
      <c r="B108" s="319">
        <f>'BANCO DADOS-CUSTO TOTAL'!B107</f>
        <v>1</v>
      </c>
      <c r="C108" s="319" t="str">
        <f>'BANCO DADOS-CUSTO TOTAL'!C107</f>
        <v>Pouso Alegre</v>
      </c>
      <c r="D108" s="320">
        <f>'BANCO DADOS-CUSTO TOTAL'!F107</f>
        <v>72</v>
      </c>
      <c r="E108" s="100">
        <f>'BANCO DADOS-CUSTO TOTAL'!G107</f>
        <v>12412</v>
      </c>
      <c r="F108" s="100" t="str">
        <f>'BANCO DADOS-CUSTO TOTAL'!H107</f>
        <v>BELTRANO 12412</v>
      </c>
      <c r="G108" s="100" t="str">
        <f>'BANCO DADOS-CUSTO TOTAL'!I107</f>
        <v>VIGILANTE ARMADO - 12X36 DIURNO</v>
      </c>
      <c r="H108" s="100" t="str">
        <f>'BANCO DADOS-CUSTO TOTAL'!K107</f>
        <v>Pouso AlegreVIGILANTE ARMADO - 12X36 DIURNO</v>
      </c>
      <c r="I108" s="101" t="str">
        <f>'BANCO DADOS-CUSTO TOTAL'!J107</f>
        <v>Efetivo</v>
      </c>
      <c r="J108" s="399">
        <f>'BANCO DADOS-CUSTO TOTAL'!Q107</f>
        <v>1602.86</v>
      </c>
      <c r="K108" s="539">
        <f>'BANCO DADOS-CUSTO TOTAL'!Z107</f>
        <v>0</v>
      </c>
      <c r="L108" s="100">
        <f>'BANCO DADOS-CUSTO TOTAL'!AA107</f>
        <v>30</v>
      </c>
      <c r="M108" s="383">
        <f t="shared" si="17"/>
        <v>1602.86</v>
      </c>
      <c r="N108" s="101"/>
      <c r="O108" s="422">
        <f>IF(G108="VIGILANTE ARMADO - 220 H",20,15.5)</f>
        <v>15.5</v>
      </c>
      <c r="P108" s="356">
        <f>VLOOKUP(H108,PARAMETROS!E:AX,12,0)</f>
        <v>15.99</v>
      </c>
      <c r="Q108" s="426">
        <f t="shared" si="18"/>
        <v>247.845</v>
      </c>
      <c r="R108" s="426">
        <f t="shared" si="24"/>
        <v>24.784500000000001</v>
      </c>
      <c r="S108" s="426">
        <f t="shared" si="19"/>
        <v>223.06049999999999</v>
      </c>
      <c r="T108" s="356"/>
      <c r="U108" s="422">
        <f>O108</f>
        <v>15.5</v>
      </c>
      <c r="V108" s="426">
        <f t="shared" si="20"/>
        <v>7.4</v>
      </c>
      <c r="W108" s="426">
        <f t="shared" si="21"/>
        <v>114.7</v>
      </c>
      <c r="X108" s="126">
        <f t="shared" si="22"/>
        <v>96.171599999999998</v>
      </c>
      <c r="Y108" s="427">
        <f t="shared" si="23"/>
        <v>18.528400000000005</v>
      </c>
      <c r="Z108" s="392"/>
      <c r="AA108" s="428" t="s">
        <v>3830</v>
      </c>
      <c r="AB108" s="395"/>
      <c r="AC108" s="430"/>
      <c r="AD108" s="430"/>
      <c r="AE108" s="432"/>
      <c r="AF108" s="433"/>
      <c r="AG108" s="433"/>
    </row>
    <row r="109" spans="1:33" s="393" customFormat="1" ht="15.95" customHeight="1">
      <c r="A109" s="319">
        <f>'BANCO DADOS-CUSTO TOTAL'!A108</f>
        <v>1</v>
      </c>
      <c r="B109" s="319">
        <f>'BANCO DADOS-CUSTO TOTAL'!B108</f>
        <v>1</v>
      </c>
      <c r="C109" s="319" t="str">
        <f>'BANCO DADOS-CUSTO TOTAL'!C108</f>
        <v>Pouso Alegre</v>
      </c>
      <c r="D109" s="320">
        <f>'BANCO DADOS-CUSTO TOTAL'!F108</f>
        <v>73</v>
      </c>
      <c r="E109" s="100">
        <f>'BANCO DADOS-CUSTO TOTAL'!G108</f>
        <v>12413</v>
      </c>
      <c r="F109" s="100" t="str">
        <f>'BANCO DADOS-CUSTO TOTAL'!H108</f>
        <v>BELTRANO 12413</v>
      </c>
      <c r="G109" s="100" t="str">
        <f>'BANCO DADOS-CUSTO TOTAL'!I108</f>
        <v>VIGILANTE ARMADO - 12X36 NOTURNO</v>
      </c>
      <c r="H109" s="100" t="str">
        <f>'BANCO DADOS-CUSTO TOTAL'!K108</f>
        <v>Pouso AlegreVIGILANTE ARMADO - 12X36 NOTURNO</v>
      </c>
      <c r="I109" s="101" t="str">
        <f>'BANCO DADOS-CUSTO TOTAL'!J108</f>
        <v>Efetivo</v>
      </c>
      <c r="J109" s="399">
        <f>'BANCO DADOS-CUSTO TOTAL'!Q108</f>
        <v>1602.86</v>
      </c>
      <c r="K109" s="539">
        <f>'BANCO DADOS-CUSTO TOTAL'!Z108</f>
        <v>0</v>
      </c>
      <c r="L109" s="100">
        <f>'BANCO DADOS-CUSTO TOTAL'!AA108</f>
        <v>30</v>
      </c>
      <c r="M109" s="383">
        <f t="shared" si="17"/>
        <v>1602.86</v>
      </c>
      <c r="N109" s="101"/>
      <c r="O109" s="422">
        <f>IF(G109="VIGILANTE ARMADO - 220 H",20,15.5)</f>
        <v>15.5</v>
      </c>
      <c r="P109" s="356">
        <f>VLOOKUP(H109,PARAMETROS!E:AX,12,0)</f>
        <v>15.99</v>
      </c>
      <c r="Q109" s="426">
        <f t="shared" si="18"/>
        <v>247.845</v>
      </c>
      <c r="R109" s="426">
        <f t="shared" si="24"/>
        <v>24.784500000000001</v>
      </c>
      <c r="S109" s="426">
        <f t="shared" si="19"/>
        <v>223.06049999999999</v>
      </c>
      <c r="T109" s="356"/>
      <c r="U109" s="422">
        <f>O109</f>
        <v>15.5</v>
      </c>
      <c r="V109" s="426">
        <f t="shared" si="20"/>
        <v>7.4</v>
      </c>
      <c r="W109" s="426">
        <f t="shared" si="21"/>
        <v>114.7</v>
      </c>
      <c r="X109" s="126">
        <f t="shared" si="22"/>
        <v>96.171599999999998</v>
      </c>
      <c r="Y109" s="427">
        <f t="shared" si="23"/>
        <v>18.528400000000005</v>
      </c>
      <c r="Z109" s="392"/>
      <c r="AA109" s="428" t="s">
        <v>3830</v>
      </c>
      <c r="AB109" s="395"/>
      <c r="AC109" s="430"/>
      <c r="AD109" s="430"/>
      <c r="AE109" s="432"/>
      <c r="AF109" s="433"/>
      <c r="AG109" s="433"/>
    </row>
    <row r="110" spans="1:33" s="393" customFormat="1" ht="15.95" customHeight="1">
      <c r="A110" s="319">
        <f>'BANCO DADOS-CUSTO TOTAL'!A109</f>
        <v>1</v>
      </c>
      <c r="B110" s="319">
        <f>'BANCO DADOS-CUSTO TOTAL'!B109</f>
        <v>1</v>
      </c>
      <c r="C110" s="319" t="str">
        <f>'BANCO DADOS-CUSTO TOTAL'!C109</f>
        <v>Pouso Alegre</v>
      </c>
      <c r="D110" s="320">
        <f>'BANCO DADOS-CUSTO TOTAL'!F109</f>
        <v>74</v>
      </c>
      <c r="E110" s="100">
        <f>'BANCO DADOS-CUSTO TOTAL'!G109</f>
        <v>12414</v>
      </c>
      <c r="F110" s="100" t="str">
        <f>'BANCO DADOS-CUSTO TOTAL'!H109</f>
        <v>BELTRANO 12414</v>
      </c>
      <c r="G110" s="100" t="str">
        <f>'BANCO DADOS-CUSTO TOTAL'!I109</f>
        <v>VIGILANTE ARMADO - 12X36 NOTURNO</v>
      </c>
      <c r="H110" s="100" t="str">
        <f>'BANCO DADOS-CUSTO TOTAL'!K109</f>
        <v>Pouso AlegreVIGILANTE ARMADO - 12X36 NOTURNO</v>
      </c>
      <c r="I110" s="101" t="str">
        <f>'BANCO DADOS-CUSTO TOTAL'!J109</f>
        <v>Efetivo</v>
      </c>
      <c r="J110" s="399">
        <f>'BANCO DADOS-CUSTO TOTAL'!Q109</f>
        <v>1602.86</v>
      </c>
      <c r="K110" s="539">
        <f>'BANCO DADOS-CUSTO TOTAL'!Z109</f>
        <v>0</v>
      </c>
      <c r="L110" s="100">
        <f>'BANCO DADOS-CUSTO TOTAL'!AA109</f>
        <v>30</v>
      </c>
      <c r="M110" s="383">
        <f t="shared" si="17"/>
        <v>1602.86</v>
      </c>
      <c r="N110" s="101"/>
      <c r="O110" s="422">
        <f>IF(G110="VIGILANTE ARMADO - 220 H",20,15.5)</f>
        <v>15.5</v>
      </c>
      <c r="P110" s="356">
        <f>VLOOKUP(H110,PARAMETROS!E:AX,12,0)</f>
        <v>15.99</v>
      </c>
      <c r="Q110" s="426">
        <f t="shared" si="18"/>
        <v>247.845</v>
      </c>
      <c r="R110" s="426">
        <f t="shared" si="24"/>
        <v>24.784500000000001</v>
      </c>
      <c r="S110" s="426">
        <f t="shared" si="19"/>
        <v>223.06049999999999</v>
      </c>
      <c r="T110" s="356"/>
      <c r="U110" s="422">
        <f>O110</f>
        <v>15.5</v>
      </c>
      <c r="V110" s="426">
        <f t="shared" si="20"/>
        <v>7.4</v>
      </c>
      <c r="W110" s="426">
        <f t="shared" si="21"/>
        <v>114.7</v>
      </c>
      <c r="X110" s="126">
        <f t="shared" si="22"/>
        <v>96.171599999999998</v>
      </c>
      <c r="Y110" s="427">
        <f t="shared" si="23"/>
        <v>18.528400000000005</v>
      </c>
      <c r="Z110" s="392"/>
      <c r="AA110" s="428" t="s">
        <v>3829</v>
      </c>
      <c r="AB110" s="395"/>
      <c r="AC110" s="430"/>
      <c r="AD110" s="430"/>
      <c r="AE110" s="432"/>
      <c r="AF110" s="433"/>
      <c r="AG110" s="433"/>
    </row>
    <row r="111" spans="1:33" s="554" customFormat="1" ht="15.95" customHeight="1">
      <c r="A111" s="540"/>
      <c r="B111" s="540"/>
      <c r="C111" s="540" t="str">
        <f>'BANCO DADOS-CUSTO TOTAL'!C110</f>
        <v>TOTAL POUSO ALEGRE</v>
      </c>
      <c r="D111" s="541"/>
      <c r="E111" s="542"/>
      <c r="F111" s="542"/>
      <c r="G111" s="542"/>
      <c r="H111" s="542"/>
      <c r="I111" s="543"/>
      <c r="J111" s="544"/>
      <c r="K111" s="545"/>
      <c r="L111" s="542"/>
      <c r="M111" s="460"/>
      <c r="N111" s="543"/>
      <c r="O111" s="546"/>
      <c r="P111" s="459"/>
      <c r="Q111" s="544"/>
      <c r="R111" s="544"/>
      <c r="S111" s="544"/>
      <c r="T111" s="459"/>
      <c r="U111" s="546"/>
      <c r="V111" s="544"/>
      <c r="W111" s="544"/>
      <c r="X111" s="461"/>
      <c r="Y111" s="547"/>
      <c r="Z111" s="548"/>
      <c r="AA111" s="549" t="s">
        <v>3830</v>
      </c>
      <c r="AB111" s="550"/>
      <c r="AC111" s="551"/>
      <c r="AD111" s="551"/>
      <c r="AE111" s="552"/>
      <c r="AF111" s="553"/>
      <c r="AG111" s="553"/>
    </row>
    <row r="112" spans="1:33" s="393" customFormat="1" ht="15.95" customHeight="1">
      <c r="A112" s="319">
        <f>'BANCO DADOS-CUSTO TOTAL'!A111</f>
        <v>1</v>
      </c>
      <c r="B112" s="319">
        <f>'BANCO DADOS-CUSTO TOTAL'!B111</f>
        <v>1</v>
      </c>
      <c r="C112" s="319" t="str">
        <f>'BANCO DADOS-CUSTO TOTAL'!C111</f>
        <v>Ribeirão das Neves</v>
      </c>
      <c r="D112" s="320">
        <f>'BANCO DADOS-CUSTO TOTAL'!F111</f>
        <v>75</v>
      </c>
      <c r="E112" s="100">
        <f>'BANCO DADOS-CUSTO TOTAL'!G111</f>
        <v>12415</v>
      </c>
      <c r="F112" s="100" t="str">
        <f>'BANCO DADOS-CUSTO TOTAL'!H111</f>
        <v>BELTRANO 12415</v>
      </c>
      <c r="G112" s="100" t="str">
        <f>'BANCO DADOS-CUSTO TOTAL'!I111</f>
        <v>VIGILANTE ARMADO - 220 H</v>
      </c>
      <c r="H112" s="100" t="str">
        <f>'BANCO DADOS-CUSTO TOTAL'!K111</f>
        <v>Ribeirão das NevesVIGILANTE ARMADO - 220 H</v>
      </c>
      <c r="I112" s="101" t="str">
        <f>'BANCO DADOS-CUSTO TOTAL'!J111</f>
        <v>Efetivo</v>
      </c>
      <c r="J112" s="399">
        <f>'BANCO DADOS-CUSTO TOTAL'!Q111</f>
        <v>1602.86</v>
      </c>
      <c r="K112" s="539">
        <f>'BANCO DADOS-CUSTO TOTAL'!Z111</f>
        <v>0</v>
      </c>
      <c r="L112" s="100">
        <f>'BANCO DADOS-CUSTO TOTAL'!AA111</f>
        <v>30</v>
      </c>
      <c r="M112" s="383">
        <f t="shared" ref="M112:M120" si="25">(J112/30)*(L112-K112)</f>
        <v>1602.86</v>
      </c>
      <c r="N112" s="101"/>
      <c r="O112" s="422">
        <f>IF(G112="VIGILANTE ARMADO - 220 H",20,15.5)</f>
        <v>20</v>
      </c>
      <c r="P112" s="356">
        <f>VLOOKUP(H112,PARAMETROS!E:AX,12,0)</f>
        <v>15.99</v>
      </c>
      <c r="Q112" s="426">
        <f t="shared" ref="Q112:Q120" si="26">O112*P112</f>
        <v>319.8</v>
      </c>
      <c r="R112" s="426">
        <f t="shared" si="24"/>
        <v>31.980000000000004</v>
      </c>
      <c r="S112" s="426">
        <f t="shared" ref="S112:S120" si="27">IF(Q112&lt;1,0,Q112-R112)</f>
        <v>287.82</v>
      </c>
      <c r="T112" s="356"/>
      <c r="U112" s="422">
        <f t="shared" ref="U112:U155" si="28">O112</f>
        <v>20</v>
      </c>
      <c r="V112" s="426">
        <f t="shared" ref="V112:V120" si="29">IF(C112="BELO HORIZONTE",$R$6,$T$6)</f>
        <v>7.4</v>
      </c>
      <c r="W112" s="426">
        <f t="shared" ref="W112:W120" si="30">V112*U112</f>
        <v>148</v>
      </c>
      <c r="X112" s="126">
        <f t="shared" ref="X112:X120" si="31">IF(U112&lt;20,IF(W112&lt;M112*6/100,(W112),(M112*6/100)),IF(W112&lt;J112*6/100,(W112),(J112*6/100)))</f>
        <v>96.171599999999998</v>
      </c>
      <c r="Y112" s="427">
        <f t="shared" ref="Y112:Y120" si="32">W112-X112</f>
        <v>51.828400000000002</v>
      </c>
      <c r="Z112" s="392"/>
      <c r="AA112" s="428"/>
      <c r="AB112" s="395"/>
      <c r="AC112" s="430"/>
      <c r="AD112" s="430"/>
      <c r="AE112" s="432"/>
      <c r="AF112" s="433"/>
      <c r="AG112" s="433"/>
    </row>
    <row r="113" spans="1:33" s="393" customFormat="1" ht="15.95" customHeight="1">
      <c r="A113" s="319">
        <f>'BANCO DADOS-CUSTO TOTAL'!A112</f>
        <v>1</v>
      </c>
      <c r="B113" s="319">
        <f>'BANCO DADOS-CUSTO TOTAL'!B112</f>
        <v>1</v>
      </c>
      <c r="C113" s="319" t="str">
        <f>'BANCO DADOS-CUSTO TOTAL'!C112</f>
        <v>Ribeirão das Neves</v>
      </c>
      <c r="D113" s="320">
        <f>'BANCO DADOS-CUSTO TOTAL'!F112</f>
        <v>76</v>
      </c>
      <c r="E113" s="100">
        <f>'BANCO DADOS-CUSTO TOTAL'!G112</f>
        <v>12416</v>
      </c>
      <c r="F113" s="100" t="str">
        <f>'BANCO DADOS-CUSTO TOTAL'!H112</f>
        <v>BELTRANO 12416</v>
      </c>
      <c r="G113" s="100" t="str">
        <f>'BANCO DADOS-CUSTO TOTAL'!I112</f>
        <v>VIGILANTE ARMADO - 12X36 DIURNO</v>
      </c>
      <c r="H113" s="100" t="str">
        <f>'BANCO DADOS-CUSTO TOTAL'!K112</f>
        <v>Ribeirão das NevesVIGILANTE ARMADO - 12X36 DIURNO</v>
      </c>
      <c r="I113" s="101" t="str">
        <f>'BANCO DADOS-CUSTO TOTAL'!J112</f>
        <v>Efetivo</v>
      </c>
      <c r="J113" s="399">
        <f>'BANCO DADOS-CUSTO TOTAL'!Q112</f>
        <v>1602.86</v>
      </c>
      <c r="K113" s="539">
        <f>'BANCO DADOS-CUSTO TOTAL'!Z112</f>
        <v>0</v>
      </c>
      <c r="L113" s="100">
        <f>'BANCO DADOS-CUSTO TOTAL'!AA112</f>
        <v>30</v>
      </c>
      <c r="M113" s="383">
        <f t="shared" si="25"/>
        <v>1602.86</v>
      </c>
      <c r="N113" s="101"/>
      <c r="O113" s="422">
        <f>IF(G113="VIGILANTE ARMADO - 220 H",20,15.5)</f>
        <v>15.5</v>
      </c>
      <c r="P113" s="356">
        <f>VLOOKUP(H113,PARAMETROS!E:AX,12,0)</f>
        <v>15.99</v>
      </c>
      <c r="Q113" s="426">
        <f t="shared" si="26"/>
        <v>247.845</v>
      </c>
      <c r="R113" s="426">
        <f t="shared" si="24"/>
        <v>24.784500000000001</v>
      </c>
      <c r="S113" s="426">
        <f t="shared" si="27"/>
        <v>223.06049999999999</v>
      </c>
      <c r="T113" s="356"/>
      <c r="U113" s="422">
        <f t="shared" si="28"/>
        <v>15.5</v>
      </c>
      <c r="V113" s="426">
        <f t="shared" si="29"/>
        <v>7.4</v>
      </c>
      <c r="W113" s="426">
        <f t="shared" si="30"/>
        <v>114.7</v>
      </c>
      <c r="X113" s="126">
        <f t="shared" si="31"/>
        <v>96.171599999999998</v>
      </c>
      <c r="Y113" s="427">
        <f t="shared" si="32"/>
        <v>18.528400000000005</v>
      </c>
      <c r="Z113" s="392"/>
      <c r="AA113" s="428"/>
      <c r="AB113" s="395"/>
      <c r="AC113" s="430"/>
      <c r="AD113" s="430"/>
      <c r="AE113" s="432"/>
      <c r="AF113" s="433"/>
      <c r="AG113" s="433"/>
    </row>
    <row r="114" spans="1:33" s="393" customFormat="1" ht="15.95" customHeight="1">
      <c r="A114" s="319">
        <f>'BANCO DADOS-CUSTO TOTAL'!A113</f>
        <v>1</v>
      </c>
      <c r="B114" s="319">
        <f>'BANCO DADOS-CUSTO TOTAL'!B113</f>
        <v>1</v>
      </c>
      <c r="C114" s="319" t="str">
        <f>'BANCO DADOS-CUSTO TOTAL'!C113</f>
        <v>Ribeirão das Neves</v>
      </c>
      <c r="D114" s="320">
        <f>'BANCO DADOS-CUSTO TOTAL'!F113</f>
        <v>77</v>
      </c>
      <c r="E114" s="100">
        <f>'BANCO DADOS-CUSTO TOTAL'!G113</f>
        <v>12417</v>
      </c>
      <c r="F114" s="100" t="str">
        <f>'BANCO DADOS-CUSTO TOTAL'!H113</f>
        <v>BELTRANO 12417</v>
      </c>
      <c r="G114" s="100" t="str">
        <f>'BANCO DADOS-CUSTO TOTAL'!I113</f>
        <v>VIGILANTE ARMADO - 12X36 DIURNO</v>
      </c>
      <c r="H114" s="100" t="str">
        <f>'BANCO DADOS-CUSTO TOTAL'!K113</f>
        <v>Ribeirão das NevesVIGILANTE ARMADO - 12X36 DIURNO</v>
      </c>
      <c r="I114" s="101" t="str">
        <f>'BANCO DADOS-CUSTO TOTAL'!J113</f>
        <v>Efetivo</v>
      </c>
      <c r="J114" s="399">
        <f>'BANCO DADOS-CUSTO TOTAL'!Q113</f>
        <v>1602.86</v>
      </c>
      <c r="K114" s="539">
        <f>'BANCO DADOS-CUSTO TOTAL'!Z113</f>
        <v>0</v>
      </c>
      <c r="L114" s="100">
        <f>'BANCO DADOS-CUSTO TOTAL'!AA113</f>
        <v>30</v>
      </c>
      <c r="M114" s="383">
        <f t="shared" si="25"/>
        <v>1602.86</v>
      </c>
      <c r="N114" s="101"/>
      <c r="O114" s="422">
        <f>IF(G114="VIGILANTE ARMADO - 220 H",20,15.5)</f>
        <v>15.5</v>
      </c>
      <c r="P114" s="356">
        <f>VLOOKUP(H114,PARAMETROS!E:AX,12,0)</f>
        <v>15.99</v>
      </c>
      <c r="Q114" s="426">
        <f t="shared" si="26"/>
        <v>247.845</v>
      </c>
      <c r="R114" s="426">
        <f t="shared" si="24"/>
        <v>24.784500000000001</v>
      </c>
      <c r="S114" s="426">
        <f t="shared" si="27"/>
        <v>223.06049999999999</v>
      </c>
      <c r="T114" s="356"/>
      <c r="U114" s="422">
        <f t="shared" si="28"/>
        <v>15.5</v>
      </c>
      <c r="V114" s="426">
        <f t="shared" si="29"/>
        <v>7.4</v>
      </c>
      <c r="W114" s="426">
        <f t="shared" si="30"/>
        <v>114.7</v>
      </c>
      <c r="X114" s="126">
        <f t="shared" si="31"/>
        <v>96.171599999999998</v>
      </c>
      <c r="Y114" s="427">
        <f t="shared" si="32"/>
        <v>18.528400000000005</v>
      </c>
      <c r="Z114" s="392"/>
      <c r="AA114" s="428"/>
      <c r="AB114" s="395"/>
      <c r="AC114" s="430"/>
      <c r="AD114" s="430"/>
      <c r="AE114" s="432"/>
      <c r="AF114" s="433"/>
      <c r="AG114" s="433"/>
    </row>
    <row r="115" spans="1:33" s="393" customFormat="1" ht="15.95" customHeight="1">
      <c r="A115" s="319">
        <f>'BANCO DADOS-CUSTO TOTAL'!A114</f>
        <v>1</v>
      </c>
      <c r="B115" s="319">
        <f>'BANCO DADOS-CUSTO TOTAL'!B114</f>
        <v>1</v>
      </c>
      <c r="C115" s="319" t="str">
        <f>'BANCO DADOS-CUSTO TOTAL'!C114</f>
        <v>Ribeirão das Neves</v>
      </c>
      <c r="D115" s="320">
        <f>'BANCO DADOS-CUSTO TOTAL'!F114</f>
        <v>78</v>
      </c>
      <c r="E115" s="100">
        <f>'BANCO DADOS-CUSTO TOTAL'!G114</f>
        <v>12418</v>
      </c>
      <c r="F115" s="100" t="str">
        <f>'BANCO DADOS-CUSTO TOTAL'!H114</f>
        <v>BELTRANO 12418</v>
      </c>
      <c r="G115" s="100" t="str">
        <f>'BANCO DADOS-CUSTO TOTAL'!I114</f>
        <v>VIGILANTE ARMADO - 12X36 NOTURNO</v>
      </c>
      <c r="H115" s="100" t="str">
        <f>'BANCO DADOS-CUSTO TOTAL'!K114</f>
        <v>Ribeirão das NevesVIGILANTE ARMADO - 12X36 NOTURNO</v>
      </c>
      <c r="I115" s="101" t="str">
        <f>'BANCO DADOS-CUSTO TOTAL'!J114</f>
        <v>Efetivo</v>
      </c>
      <c r="J115" s="399">
        <f>'BANCO DADOS-CUSTO TOTAL'!Q114</f>
        <v>1602.86</v>
      </c>
      <c r="K115" s="539">
        <f>'BANCO DADOS-CUSTO TOTAL'!Z114</f>
        <v>0</v>
      </c>
      <c r="L115" s="100">
        <f>'BANCO DADOS-CUSTO TOTAL'!AA114</f>
        <v>30</v>
      </c>
      <c r="M115" s="383">
        <f t="shared" si="25"/>
        <v>1602.86</v>
      </c>
      <c r="N115" s="101"/>
      <c r="O115" s="422">
        <f>IF(G115="VIGILANTE ARMADO - 220 H",20,15.5)</f>
        <v>15.5</v>
      </c>
      <c r="P115" s="356">
        <f>VLOOKUP(H115,PARAMETROS!E:AX,12,0)</f>
        <v>15.99</v>
      </c>
      <c r="Q115" s="426">
        <f t="shared" si="26"/>
        <v>247.845</v>
      </c>
      <c r="R115" s="426">
        <f t="shared" si="24"/>
        <v>24.784500000000001</v>
      </c>
      <c r="S115" s="426">
        <f t="shared" si="27"/>
        <v>223.06049999999999</v>
      </c>
      <c r="T115" s="356"/>
      <c r="U115" s="422">
        <f t="shared" si="28"/>
        <v>15.5</v>
      </c>
      <c r="V115" s="426">
        <f t="shared" si="29"/>
        <v>7.4</v>
      </c>
      <c r="W115" s="426">
        <f t="shared" si="30"/>
        <v>114.7</v>
      </c>
      <c r="X115" s="126">
        <f t="shared" si="31"/>
        <v>96.171599999999998</v>
      </c>
      <c r="Y115" s="427">
        <f t="shared" si="32"/>
        <v>18.528400000000005</v>
      </c>
      <c r="Z115" s="392"/>
      <c r="AA115" s="428"/>
      <c r="AB115" s="395"/>
      <c r="AC115" s="430"/>
      <c r="AD115" s="430"/>
      <c r="AE115" s="432"/>
      <c r="AF115" s="433"/>
      <c r="AG115" s="433"/>
    </row>
    <row r="116" spans="1:33" s="393" customFormat="1" ht="15.95" customHeight="1">
      <c r="A116" s="319">
        <f>'BANCO DADOS-CUSTO TOTAL'!A115</f>
        <v>1</v>
      </c>
      <c r="B116" s="319">
        <f>'BANCO DADOS-CUSTO TOTAL'!B115</f>
        <v>1</v>
      </c>
      <c r="C116" s="319" t="str">
        <f>'BANCO DADOS-CUSTO TOTAL'!C115</f>
        <v>Ribeirão das Neves</v>
      </c>
      <c r="D116" s="320">
        <f>'BANCO DADOS-CUSTO TOTAL'!F115</f>
        <v>79</v>
      </c>
      <c r="E116" s="100">
        <f>'BANCO DADOS-CUSTO TOTAL'!G115</f>
        <v>12419</v>
      </c>
      <c r="F116" s="100" t="str">
        <f>'BANCO DADOS-CUSTO TOTAL'!H115</f>
        <v>BELTRANO 12419</v>
      </c>
      <c r="G116" s="100" t="str">
        <f>'BANCO DADOS-CUSTO TOTAL'!I115</f>
        <v>VIGILANTE ARMADO - 12X36 NOTURNO</v>
      </c>
      <c r="H116" s="100" t="str">
        <f>'BANCO DADOS-CUSTO TOTAL'!K115</f>
        <v>Ribeirão das NevesVIGILANTE ARMADO - 12X36 NOTURNO</v>
      </c>
      <c r="I116" s="101" t="str">
        <f>'BANCO DADOS-CUSTO TOTAL'!J115</f>
        <v>Efetivo</v>
      </c>
      <c r="J116" s="399">
        <f>'BANCO DADOS-CUSTO TOTAL'!Q115</f>
        <v>1602.86</v>
      </c>
      <c r="K116" s="539">
        <f>'BANCO DADOS-CUSTO TOTAL'!Z115</f>
        <v>0</v>
      </c>
      <c r="L116" s="100">
        <f>'BANCO DADOS-CUSTO TOTAL'!AA115</f>
        <v>30</v>
      </c>
      <c r="M116" s="383">
        <f t="shared" si="25"/>
        <v>1602.86</v>
      </c>
      <c r="N116" s="101"/>
      <c r="O116" s="422">
        <f>IF(G116="VIGILANTE ARMADO - 220 H",20,15.5)</f>
        <v>15.5</v>
      </c>
      <c r="P116" s="356">
        <f>VLOOKUP(H116,PARAMETROS!E:AX,12,0)</f>
        <v>15.99</v>
      </c>
      <c r="Q116" s="426">
        <f t="shared" si="26"/>
        <v>247.845</v>
      </c>
      <c r="R116" s="426">
        <f t="shared" si="24"/>
        <v>24.784500000000001</v>
      </c>
      <c r="S116" s="426">
        <f t="shared" si="27"/>
        <v>223.06049999999999</v>
      </c>
      <c r="T116" s="356"/>
      <c r="U116" s="422">
        <f t="shared" si="28"/>
        <v>15.5</v>
      </c>
      <c r="V116" s="426">
        <f t="shared" si="29"/>
        <v>7.4</v>
      </c>
      <c r="W116" s="426">
        <f t="shared" si="30"/>
        <v>114.7</v>
      </c>
      <c r="X116" s="126">
        <f t="shared" si="31"/>
        <v>96.171599999999998</v>
      </c>
      <c r="Y116" s="427">
        <f t="shared" si="32"/>
        <v>18.528400000000005</v>
      </c>
      <c r="Z116" s="392"/>
      <c r="AA116" s="428"/>
      <c r="AB116" s="395"/>
      <c r="AC116" s="430"/>
      <c r="AD116" s="430"/>
      <c r="AE116" s="432"/>
      <c r="AF116" s="433"/>
      <c r="AG116" s="433"/>
    </row>
    <row r="117" spans="1:33" s="554" customFormat="1" ht="15.95" customHeight="1">
      <c r="A117" s="540"/>
      <c r="B117" s="540"/>
      <c r="C117" s="540" t="str">
        <f>'BANCO DADOS-CUSTO TOTAL'!C116</f>
        <v>TOTAL RIBEIRÃO DAS NEVES</v>
      </c>
      <c r="D117" s="541"/>
      <c r="E117" s="542"/>
      <c r="F117" s="542"/>
      <c r="G117" s="542"/>
      <c r="H117" s="542"/>
      <c r="I117" s="543"/>
      <c r="J117" s="544"/>
      <c r="K117" s="545"/>
      <c r="L117" s="542"/>
      <c r="M117" s="460"/>
      <c r="N117" s="543"/>
      <c r="O117" s="546"/>
      <c r="P117" s="459"/>
      <c r="Q117" s="544"/>
      <c r="R117" s="544"/>
      <c r="S117" s="544"/>
      <c r="T117" s="459"/>
      <c r="U117" s="546"/>
      <c r="V117" s="544"/>
      <c r="W117" s="544"/>
      <c r="X117" s="461"/>
      <c r="Y117" s="547"/>
      <c r="Z117" s="548"/>
      <c r="AA117" s="549" t="s">
        <v>3830</v>
      </c>
      <c r="AB117" s="550"/>
      <c r="AC117" s="551"/>
      <c r="AD117" s="551"/>
      <c r="AE117" s="552"/>
      <c r="AF117" s="553"/>
      <c r="AG117" s="553"/>
    </row>
    <row r="118" spans="1:33" s="393" customFormat="1" ht="15.95" customHeight="1">
      <c r="A118" s="319">
        <f>'BANCO DADOS-CUSTO TOTAL'!A117</f>
        <v>1</v>
      </c>
      <c r="B118" s="319">
        <f>'BANCO DADOS-CUSTO TOTAL'!B117</f>
        <v>1</v>
      </c>
      <c r="C118" s="319" t="str">
        <f>'BANCO DADOS-CUSTO TOTAL'!C117</f>
        <v>Santa Luzia</v>
      </c>
      <c r="D118" s="320">
        <f>'BANCO DADOS-CUSTO TOTAL'!F117</f>
        <v>80</v>
      </c>
      <c r="E118" s="100">
        <f>'BANCO DADOS-CUSTO TOTAL'!G117</f>
        <v>12420</v>
      </c>
      <c r="F118" s="100" t="str">
        <f>'BANCO DADOS-CUSTO TOTAL'!H117</f>
        <v>BELTRANO 12420</v>
      </c>
      <c r="G118" s="100" t="str">
        <f>'BANCO DADOS-CUSTO TOTAL'!I117</f>
        <v>VIGILANTE ARMADO - 12X36 DIURNO</v>
      </c>
      <c r="H118" s="100" t="str">
        <f>'BANCO DADOS-CUSTO TOTAL'!K117</f>
        <v>Santa LuziaVIGILANTE ARMADO - 12X36 DIURNO</v>
      </c>
      <c r="I118" s="101" t="str">
        <f>'BANCO DADOS-CUSTO TOTAL'!J117</f>
        <v>Efetivo</v>
      </c>
      <c r="J118" s="399">
        <f>'BANCO DADOS-CUSTO TOTAL'!Q117</f>
        <v>1602.86</v>
      </c>
      <c r="K118" s="539">
        <f>'BANCO DADOS-CUSTO TOTAL'!Z117</f>
        <v>0</v>
      </c>
      <c r="L118" s="100">
        <f>'BANCO DADOS-CUSTO TOTAL'!AA117</f>
        <v>30</v>
      </c>
      <c r="M118" s="383">
        <f t="shared" si="25"/>
        <v>1602.86</v>
      </c>
      <c r="N118" s="101"/>
      <c r="O118" s="422">
        <f>IF(G118="VIGILANTE ARMADO - 220 H",20,15.5)</f>
        <v>15.5</v>
      </c>
      <c r="P118" s="356">
        <f>VLOOKUP(H118,PARAMETROS!E:AX,12,0)</f>
        <v>15.99</v>
      </c>
      <c r="Q118" s="426">
        <f t="shared" si="26"/>
        <v>247.845</v>
      </c>
      <c r="R118" s="426">
        <f t="shared" si="24"/>
        <v>24.784500000000001</v>
      </c>
      <c r="S118" s="426">
        <f t="shared" si="27"/>
        <v>223.06049999999999</v>
      </c>
      <c r="T118" s="356"/>
      <c r="U118" s="422">
        <f t="shared" si="28"/>
        <v>15.5</v>
      </c>
      <c r="V118" s="426">
        <f t="shared" si="29"/>
        <v>7.4</v>
      </c>
      <c r="W118" s="426">
        <f t="shared" si="30"/>
        <v>114.7</v>
      </c>
      <c r="X118" s="126">
        <f t="shared" si="31"/>
        <v>96.171599999999998</v>
      </c>
      <c r="Y118" s="427">
        <f t="shared" si="32"/>
        <v>18.528400000000005</v>
      </c>
      <c r="Z118" s="392"/>
      <c r="AA118" s="428"/>
      <c r="AB118" s="395"/>
      <c r="AC118" s="430"/>
      <c r="AD118" s="430"/>
      <c r="AE118" s="432"/>
      <c r="AF118" s="433"/>
      <c r="AG118" s="433"/>
    </row>
    <row r="119" spans="1:33" s="393" customFormat="1" ht="15.95" customHeight="1">
      <c r="A119" s="319">
        <f>'BANCO DADOS-CUSTO TOTAL'!A118</f>
        <v>1</v>
      </c>
      <c r="B119" s="319">
        <f>'BANCO DADOS-CUSTO TOTAL'!B118</f>
        <v>1</v>
      </c>
      <c r="C119" s="319" t="str">
        <f>'BANCO DADOS-CUSTO TOTAL'!C118</f>
        <v>Santa Luzia</v>
      </c>
      <c r="D119" s="320">
        <f>'BANCO DADOS-CUSTO TOTAL'!F118</f>
        <v>81</v>
      </c>
      <c r="E119" s="100">
        <f>'BANCO DADOS-CUSTO TOTAL'!G118</f>
        <v>12421</v>
      </c>
      <c r="F119" s="100" t="str">
        <f>'BANCO DADOS-CUSTO TOTAL'!H118</f>
        <v>BELTRANO 12421</v>
      </c>
      <c r="G119" s="100" t="str">
        <f>'BANCO DADOS-CUSTO TOTAL'!I118</f>
        <v>VIGILANTE ARMADO - 12X36 DIURNO</v>
      </c>
      <c r="H119" s="100" t="str">
        <f>'BANCO DADOS-CUSTO TOTAL'!K118</f>
        <v>Santa LuziaVIGILANTE ARMADO - 12X36 DIURNO</v>
      </c>
      <c r="I119" s="101" t="str">
        <f>'BANCO DADOS-CUSTO TOTAL'!J118</f>
        <v>Efetivo</v>
      </c>
      <c r="J119" s="399">
        <f>'BANCO DADOS-CUSTO TOTAL'!Q118</f>
        <v>1602.86</v>
      </c>
      <c r="K119" s="539">
        <f>'BANCO DADOS-CUSTO TOTAL'!Z118</f>
        <v>0</v>
      </c>
      <c r="L119" s="100">
        <f>'BANCO DADOS-CUSTO TOTAL'!AA118</f>
        <v>30</v>
      </c>
      <c r="M119" s="383">
        <f t="shared" si="25"/>
        <v>1602.86</v>
      </c>
      <c r="N119" s="101"/>
      <c r="O119" s="422">
        <f>IF(G119="VIGILANTE ARMADO - 220 H",20,15.5)</f>
        <v>15.5</v>
      </c>
      <c r="P119" s="356">
        <f>VLOOKUP(H119,PARAMETROS!E:AX,12,0)</f>
        <v>15.99</v>
      </c>
      <c r="Q119" s="426">
        <f t="shared" si="26"/>
        <v>247.845</v>
      </c>
      <c r="R119" s="426">
        <f t="shared" si="24"/>
        <v>24.784500000000001</v>
      </c>
      <c r="S119" s="426">
        <f t="shared" si="27"/>
        <v>223.06049999999999</v>
      </c>
      <c r="T119" s="356"/>
      <c r="U119" s="422">
        <f t="shared" si="28"/>
        <v>15.5</v>
      </c>
      <c r="V119" s="426">
        <f t="shared" si="29"/>
        <v>7.4</v>
      </c>
      <c r="W119" s="426">
        <f t="shared" si="30"/>
        <v>114.7</v>
      </c>
      <c r="X119" s="126">
        <f t="shared" si="31"/>
        <v>96.171599999999998</v>
      </c>
      <c r="Y119" s="427">
        <f t="shared" si="32"/>
        <v>18.528400000000005</v>
      </c>
      <c r="Z119" s="392"/>
      <c r="AA119" s="428"/>
      <c r="AB119" s="395"/>
      <c r="AC119" s="430"/>
      <c r="AD119" s="430"/>
      <c r="AE119" s="432"/>
      <c r="AF119" s="433"/>
      <c r="AG119" s="433"/>
    </row>
    <row r="120" spans="1:33" s="393" customFormat="1" ht="15.95" customHeight="1">
      <c r="A120" s="319">
        <f>'BANCO DADOS-CUSTO TOTAL'!A119</f>
        <v>1</v>
      </c>
      <c r="B120" s="319">
        <f>'BANCO DADOS-CUSTO TOTAL'!B119</f>
        <v>1</v>
      </c>
      <c r="C120" s="319" t="str">
        <f>'BANCO DADOS-CUSTO TOTAL'!C119</f>
        <v>Santa Luzia</v>
      </c>
      <c r="D120" s="320">
        <f>'BANCO DADOS-CUSTO TOTAL'!F119</f>
        <v>82</v>
      </c>
      <c r="E120" s="100">
        <f>'BANCO DADOS-CUSTO TOTAL'!G119</f>
        <v>12422</v>
      </c>
      <c r="F120" s="100" t="str">
        <f>'BANCO DADOS-CUSTO TOTAL'!H119</f>
        <v>BELTRANO 12422</v>
      </c>
      <c r="G120" s="100" t="str">
        <f>'BANCO DADOS-CUSTO TOTAL'!I119</f>
        <v>VIGILANTE ARMADO - 12X36 NOTURNO</v>
      </c>
      <c r="H120" s="100" t="str">
        <f>'BANCO DADOS-CUSTO TOTAL'!K119</f>
        <v>Santa LuziaVIGILANTE ARMADO - 12X36 NOTURNO</v>
      </c>
      <c r="I120" s="101" t="str">
        <f>'BANCO DADOS-CUSTO TOTAL'!J119</f>
        <v>Efetivo</v>
      </c>
      <c r="J120" s="399">
        <f>'BANCO DADOS-CUSTO TOTAL'!Q119</f>
        <v>1602.86</v>
      </c>
      <c r="K120" s="539">
        <f>'BANCO DADOS-CUSTO TOTAL'!Z119</f>
        <v>0</v>
      </c>
      <c r="L120" s="100">
        <f>'BANCO DADOS-CUSTO TOTAL'!AA119</f>
        <v>30</v>
      </c>
      <c r="M120" s="383">
        <f t="shared" si="25"/>
        <v>1602.86</v>
      </c>
      <c r="N120" s="101"/>
      <c r="O120" s="422">
        <f>IF(G120="VIGILANTE ARMADO - 220 H",20,15.5)</f>
        <v>15.5</v>
      </c>
      <c r="P120" s="356">
        <f>VLOOKUP(H120,PARAMETROS!E:AX,12,0)</f>
        <v>15.99</v>
      </c>
      <c r="Q120" s="426">
        <f t="shared" si="26"/>
        <v>247.845</v>
      </c>
      <c r="R120" s="426">
        <f t="shared" si="24"/>
        <v>24.784500000000001</v>
      </c>
      <c r="S120" s="426">
        <f t="shared" si="27"/>
        <v>223.06049999999999</v>
      </c>
      <c r="T120" s="356"/>
      <c r="U120" s="422">
        <f t="shared" si="28"/>
        <v>15.5</v>
      </c>
      <c r="V120" s="426">
        <f t="shared" si="29"/>
        <v>7.4</v>
      </c>
      <c r="W120" s="426">
        <f t="shared" si="30"/>
        <v>114.7</v>
      </c>
      <c r="X120" s="126">
        <f t="shared" si="31"/>
        <v>96.171599999999998</v>
      </c>
      <c r="Y120" s="427">
        <f t="shared" si="32"/>
        <v>18.528400000000005</v>
      </c>
      <c r="Z120" s="392"/>
      <c r="AA120" s="428"/>
      <c r="AB120" s="395"/>
      <c r="AC120" s="430"/>
      <c r="AD120" s="430"/>
      <c r="AE120" s="432"/>
      <c r="AF120" s="433"/>
      <c r="AG120" s="433"/>
    </row>
    <row r="121" spans="1:33" s="393" customFormat="1" ht="15.95" customHeight="1">
      <c r="A121" s="319">
        <f>'BANCO DADOS-CUSTO TOTAL'!A120</f>
        <v>1</v>
      </c>
      <c r="B121" s="319">
        <f>'BANCO DADOS-CUSTO TOTAL'!B120</f>
        <v>1</v>
      </c>
      <c r="C121" s="319" t="str">
        <f>'BANCO DADOS-CUSTO TOTAL'!C120</f>
        <v>Santa Luzia</v>
      </c>
      <c r="D121" s="320">
        <f>'BANCO DADOS-CUSTO TOTAL'!F120</f>
        <v>83</v>
      </c>
      <c r="E121" s="100">
        <f>'BANCO DADOS-CUSTO TOTAL'!G120</f>
        <v>12423</v>
      </c>
      <c r="F121" s="100" t="str">
        <f>'BANCO DADOS-CUSTO TOTAL'!H120</f>
        <v>BELTRANO 12423</v>
      </c>
      <c r="G121" s="100" t="str">
        <f>'BANCO DADOS-CUSTO TOTAL'!I120</f>
        <v>VIGILANTE ARMADO - 12X36 NOTURNO</v>
      </c>
      <c r="H121" s="100" t="str">
        <f>'BANCO DADOS-CUSTO TOTAL'!K120</f>
        <v>Santa LuziaVIGILANTE ARMADO - 12X36 NOTURNO</v>
      </c>
      <c r="I121" s="101" t="str">
        <f>'BANCO DADOS-CUSTO TOTAL'!J120</f>
        <v>Efetivo</v>
      </c>
      <c r="J121" s="399">
        <f>'BANCO DADOS-CUSTO TOTAL'!Q120</f>
        <v>1602.86</v>
      </c>
      <c r="K121" s="539">
        <f>'BANCO DADOS-CUSTO TOTAL'!Z120</f>
        <v>0</v>
      </c>
      <c r="L121" s="100">
        <f>'BANCO DADOS-CUSTO TOTAL'!AA120</f>
        <v>30</v>
      </c>
      <c r="M121" s="383">
        <f>(J121/30)*(L121-K121)</f>
        <v>1602.86</v>
      </c>
      <c r="N121" s="101"/>
      <c r="O121" s="422">
        <f>IF(G121="VIGILANTE ARMADO - 220 H",20,15.5)</f>
        <v>15.5</v>
      </c>
      <c r="P121" s="356">
        <f>VLOOKUP(H121,PARAMETROS!E:AX,12,0)</f>
        <v>15.99</v>
      </c>
      <c r="Q121" s="426">
        <f>O121*P121</f>
        <v>247.845</v>
      </c>
      <c r="R121" s="426">
        <f t="shared" si="24"/>
        <v>24.784500000000001</v>
      </c>
      <c r="S121" s="426">
        <f>IF(Q121&lt;1,0,Q121-R121)</f>
        <v>223.06049999999999</v>
      </c>
      <c r="T121" s="356"/>
      <c r="U121" s="422">
        <f t="shared" si="28"/>
        <v>15.5</v>
      </c>
      <c r="V121" s="426">
        <f>IF(C121="BELO HORIZONTE",$R$6,$T$6)</f>
        <v>7.4</v>
      </c>
      <c r="W121" s="426">
        <f>V121*U121</f>
        <v>114.7</v>
      </c>
      <c r="X121" s="126">
        <f>IF(U121&lt;20,IF(W121&lt;M121*6/100,(W121),(M121*6/100)),IF(W121&lt;J121*6/100,(W121),(J121*6/100)))</f>
        <v>96.171599999999998</v>
      </c>
      <c r="Y121" s="427">
        <f>W121-X121</f>
        <v>18.528400000000005</v>
      </c>
      <c r="Z121" s="392"/>
      <c r="AA121" s="428"/>
      <c r="AB121" s="395"/>
      <c r="AC121" s="430"/>
      <c r="AD121" s="430"/>
      <c r="AE121" s="432"/>
      <c r="AF121" s="433"/>
      <c r="AG121" s="433"/>
    </row>
    <row r="122" spans="1:33" s="554" customFormat="1" ht="15.95" customHeight="1">
      <c r="A122" s="540"/>
      <c r="B122" s="540"/>
      <c r="C122" s="540" t="str">
        <f>'BANCO DADOS-CUSTO TOTAL'!C121</f>
        <v>TOTAL SANTA LUZIA</v>
      </c>
      <c r="D122" s="541"/>
      <c r="E122" s="542"/>
      <c r="F122" s="542"/>
      <c r="G122" s="542"/>
      <c r="H122" s="542"/>
      <c r="I122" s="543"/>
      <c r="J122" s="544"/>
      <c r="K122" s="545"/>
      <c r="L122" s="542"/>
      <c r="M122" s="460"/>
      <c r="N122" s="543"/>
      <c r="O122" s="546"/>
      <c r="P122" s="459"/>
      <c r="Q122" s="544"/>
      <c r="R122" s="544"/>
      <c r="S122" s="544"/>
      <c r="T122" s="459"/>
      <c r="U122" s="546"/>
      <c r="V122" s="544"/>
      <c r="W122" s="544"/>
      <c r="X122" s="461"/>
      <c r="Y122" s="547"/>
      <c r="Z122" s="548"/>
      <c r="AA122" s="549" t="s">
        <v>3830</v>
      </c>
      <c r="AB122" s="550"/>
      <c r="AC122" s="551"/>
      <c r="AD122" s="551"/>
      <c r="AE122" s="552"/>
      <c r="AF122" s="553"/>
      <c r="AG122" s="553"/>
    </row>
    <row r="123" spans="1:33" s="393" customFormat="1" ht="15.95" customHeight="1">
      <c r="A123" s="319">
        <f>'BANCO DADOS-CUSTO TOTAL'!A122</f>
        <v>1</v>
      </c>
      <c r="B123" s="319">
        <f>'BANCO DADOS-CUSTO TOTAL'!B122</f>
        <v>1</v>
      </c>
      <c r="C123" s="319" t="str">
        <f>'BANCO DADOS-CUSTO TOTAL'!C122</f>
        <v>São João Del Rei</v>
      </c>
      <c r="D123" s="320">
        <f>'BANCO DADOS-CUSTO TOTAL'!F122</f>
        <v>84</v>
      </c>
      <c r="E123" s="100">
        <f>'BANCO DADOS-CUSTO TOTAL'!G122</f>
        <v>12424</v>
      </c>
      <c r="F123" s="100" t="str">
        <f>'BANCO DADOS-CUSTO TOTAL'!H122</f>
        <v>BELTRANO 12424</v>
      </c>
      <c r="G123" s="100" t="str">
        <f>'BANCO DADOS-CUSTO TOTAL'!I122</f>
        <v>VIGILANTE ARMADO - 12X36 DIURNO</v>
      </c>
      <c r="H123" s="100" t="str">
        <f>'BANCO DADOS-CUSTO TOTAL'!K122</f>
        <v>São João Del ReiVIGILANTE ARMADO - 12X36 DIURNO</v>
      </c>
      <c r="I123" s="101" t="str">
        <f>'BANCO DADOS-CUSTO TOTAL'!J122</f>
        <v>Efetivo</v>
      </c>
      <c r="J123" s="399">
        <f>'BANCO DADOS-CUSTO TOTAL'!Q122</f>
        <v>1602.86</v>
      </c>
      <c r="K123" s="539">
        <f>'BANCO DADOS-CUSTO TOTAL'!Z122</f>
        <v>0</v>
      </c>
      <c r="L123" s="100">
        <f>'BANCO DADOS-CUSTO TOTAL'!AA122</f>
        <v>30</v>
      </c>
      <c r="M123" s="383">
        <f>(J123/30)*(L123-K123)</f>
        <v>1602.86</v>
      </c>
      <c r="N123" s="101"/>
      <c r="O123" s="422">
        <f>IF(G123="VIGILANTE ARMADO - 220 H",20,15.5)</f>
        <v>15.5</v>
      </c>
      <c r="P123" s="356">
        <f>VLOOKUP(H123,PARAMETROS!E:AX,12,0)</f>
        <v>15.99</v>
      </c>
      <c r="Q123" s="426">
        <f>O123*P123</f>
        <v>247.845</v>
      </c>
      <c r="R123" s="426">
        <f t="shared" si="24"/>
        <v>24.784500000000001</v>
      </c>
      <c r="S123" s="426">
        <f>IF(Q123&lt;1,0,Q123-R123)</f>
        <v>223.06049999999999</v>
      </c>
      <c r="T123" s="356"/>
      <c r="U123" s="422">
        <f t="shared" si="28"/>
        <v>15.5</v>
      </c>
      <c r="V123" s="426">
        <f>IF(C123="BELO HORIZONTE",$R$6,$T$6)</f>
        <v>7.4</v>
      </c>
      <c r="W123" s="426">
        <f>V123*U123</f>
        <v>114.7</v>
      </c>
      <c r="X123" s="126">
        <f>IF(U123&lt;20,IF(W123&lt;M123*6/100,(W123),(M123*6/100)),IF(W123&lt;J123*6/100,(W123),(J123*6/100)))</f>
        <v>96.171599999999998</v>
      </c>
      <c r="Y123" s="427">
        <f>W123-X123</f>
        <v>18.528400000000005</v>
      </c>
      <c r="Z123" s="392"/>
      <c r="AA123" s="428"/>
      <c r="AB123" s="395"/>
      <c r="AC123" s="430"/>
      <c r="AD123" s="430"/>
      <c r="AE123" s="432"/>
      <c r="AF123" s="433"/>
      <c r="AG123" s="433"/>
    </row>
    <row r="124" spans="1:33" s="393" customFormat="1" ht="15.95" customHeight="1">
      <c r="A124" s="319">
        <f>'BANCO DADOS-CUSTO TOTAL'!A123</f>
        <v>1</v>
      </c>
      <c r="B124" s="319">
        <f>'BANCO DADOS-CUSTO TOTAL'!B123</f>
        <v>1</v>
      </c>
      <c r="C124" s="319" t="str">
        <f>'BANCO DADOS-CUSTO TOTAL'!C123</f>
        <v>São João Del Rei</v>
      </c>
      <c r="D124" s="320">
        <f>'BANCO DADOS-CUSTO TOTAL'!F123</f>
        <v>85</v>
      </c>
      <c r="E124" s="100">
        <f>'BANCO DADOS-CUSTO TOTAL'!G123</f>
        <v>12425</v>
      </c>
      <c r="F124" s="100" t="str">
        <f>'BANCO DADOS-CUSTO TOTAL'!H123</f>
        <v>BELTRANO 12425</v>
      </c>
      <c r="G124" s="100" t="str">
        <f>'BANCO DADOS-CUSTO TOTAL'!I123</f>
        <v>VIGILANTE ARMADO - 12X36 DIURNO</v>
      </c>
      <c r="H124" s="100" t="str">
        <f>'BANCO DADOS-CUSTO TOTAL'!K123</f>
        <v>São João Del ReiVIGILANTE ARMADO - 12X36 DIURNO</v>
      </c>
      <c r="I124" s="101" t="str">
        <f>'BANCO DADOS-CUSTO TOTAL'!J123</f>
        <v>Efetivo</v>
      </c>
      <c r="J124" s="399">
        <f>'BANCO DADOS-CUSTO TOTAL'!Q123</f>
        <v>1602.86</v>
      </c>
      <c r="K124" s="539">
        <f>'BANCO DADOS-CUSTO TOTAL'!Z123</f>
        <v>0</v>
      </c>
      <c r="L124" s="100">
        <f>'BANCO DADOS-CUSTO TOTAL'!AA123</f>
        <v>30</v>
      </c>
      <c r="M124" s="383">
        <f>(J124/30)*(L124-K124)</f>
        <v>1602.86</v>
      </c>
      <c r="N124" s="101"/>
      <c r="O124" s="422">
        <f>IF(G124="VIGILANTE ARMADO - 220 H",20,15.5)</f>
        <v>15.5</v>
      </c>
      <c r="P124" s="356">
        <f>VLOOKUP(H124,PARAMETROS!E:AX,12,0)</f>
        <v>15.99</v>
      </c>
      <c r="Q124" s="426">
        <f>O124*P124</f>
        <v>247.845</v>
      </c>
      <c r="R124" s="426">
        <f t="shared" si="24"/>
        <v>24.784500000000001</v>
      </c>
      <c r="S124" s="426">
        <f>IF(Q124&lt;1,0,Q124-R124)</f>
        <v>223.06049999999999</v>
      </c>
      <c r="T124" s="356"/>
      <c r="U124" s="422">
        <f t="shared" si="28"/>
        <v>15.5</v>
      </c>
      <c r="V124" s="426">
        <f>IF(C124="BELO HORIZONTE",$R$6,$T$6)</f>
        <v>7.4</v>
      </c>
      <c r="W124" s="426">
        <f>V124*U124</f>
        <v>114.7</v>
      </c>
      <c r="X124" s="126">
        <f>IF(U124&lt;20,IF(W124&lt;M124*6/100,(W124),(M124*6/100)),IF(W124&lt;J124*6/100,(W124),(J124*6/100)))</f>
        <v>96.171599999999998</v>
      </c>
      <c r="Y124" s="427">
        <f>W124-X124</f>
        <v>18.528400000000005</v>
      </c>
      <c r="Z124" s="392"/>
      <c r="AA124" s="428"/>
      <c r="AB124" s="395"/>
      <c r="AC124" s="430"/>
      <c r="AD124" s="430"/>
      <c r="AE124" s="432"/>
      <c r="AF124" s="433"/>
      <c r="AG124" s="433"/>
    </row>
    <row r="125" spans="1:33" s="554" customFormat="1" ht="15.95" customHeight="1">
      <c r="A125" s="540"/>
      <c r="B125" s="540"/>
      <c r="C125" s="540" t="str">
        <f>'BANCO DADOS-CUSTO TOTAL'!C124</f>
        <v>TOTAL SÃO JOÃO DEL REI</v>
      </c>
      <c r="D125" s="541"/>
      <c r="E125" s="542"/>
      <c r="F125" s="542"/>
      <c r="G125" s="542"/>
      <c r="H125" s="542"/>
      <c r="I125" s="543"/>
      <c r="J125" s="544"/>
      <c r="K125" s="545"/>
      <c r="L125" s="542"/>
      <c r="M125" s="460"/>
      <c r="N125" s="543"/>
      <c r="O125" s="546"/>
      <c r="P125" s="459"/>
      <c r="Q125" s="544"/>
      <c r="R125" s="544"/>
      <c r="S125" s="544"/>
      <c r="T125" s="459"/>
      <c r="U125" s="546"/>
      <c r="V125" s="544"/>
      <c r="W125" s="544"/>
      <c r="X125" s="461"/>
      <c r="Y125" s="547"/>
      <c r="Z125" s="548"/>
      <c r="AA125" s="549" t="s">
        <v>3830</v>
      </c>
      <c r="AB125" s="550"/>
      <c r="AC125" s="551"/>
      <c r="AD125" s="551"/>
      <c r="AE125" s="552"/>
      <c r="AF125" s="553"/>
      <c r="AG125" s="553"/>
    </row>
    <row r="126" spans="1:33" s="393" customFormat="1" ht="15.95" customHeight="1">
      <c r="A126" s="319">
        <f>'BANCO DADOS-CUSTO TOTAL'!A125</f>
        <v>1</v>
      </c>
      <c r="B126" s="319">
        <f>'BANCO DADOS-CUSTO TOTAL'!B125</f>
        <v>1</v>
      </c>
      <c r="C126" s="319" t="str">
        <f>'BANCO DADOS-CUSTO TOTAL'!C125</f>
        <v>São Lourenço</v>
      </c>
      <c r="D126" s="320">
        <f>'BANCO DADOS-CUSTO TOTAL'!F125</f>
        <v>86</v>
      </c>
      <c r="E126" s="100">
        <f>'BANCO DADOS-CUSTO TOTAL'!G125</f>
        <v>12426</v>
      </c>
      <c r="F126" s="100" t="str">
        <f>'BANCO DADOS-CUSTO TOTAL'!H125</f>
        <v>BELTRANO 12426</v>
      </c>
      <c r="G126" s="100" t="str">
        <f>'BANCO DADOS-CUSTO TOTAL'!I125</f>
        <v>VIGILANTE ARMADO - 12X36 DIURNO</v>
      </c>
      <c r="H126" s="100" t="str">
        <f>'BANCO DADOS-CUSTO TOTAL'!K125</f>
        <v>São LourençoVIGILANTE ARMADO - 12X36 DIURNO</v>
      </c>
      <c r="I126" s="101" t="str">
        <f>'BANCO DADOS-CUSTO TOTAL'!J125</f>
        <v>Efetivo</v>
      </c>
      <c r="J126" s="399">
        <f>'BANCO DADOS-CUSTO TOTAL'!Q125</f>
        <v>1602.86</v>
      </c>
      <c r="K126" s="539">
        <f>'BANCO DADOS-CUSTO TOTAL'!Z125</f>
        <v>0</v>
      </c>
      <c r="L126" s="100">
        <f>'BANCO DADOS-CUSTO TOTAL'!AA125</f>
        <v>30</v>
      </c>
      <c r="M126" s="383">
        <f>(J126/30)*(L126-K126)</f>
        <v>1602.86</v>
      </c>
      <c r="N126" s="101"/>
      <c r="O126" s="422">
        <f>IF(G126="VIGILANTE ARMADO - 220 H",20,15.5)</f>
        <v>15.5</v>
      </c>
      <c r="P126" s="356">
        <f>VLOOKUP(H126,PARAMETROS!E:AX,12,0)</f>
        <v>15.99</v>
      </c>
      <c r="Q126" s="426">
        <f>O126*P126</f>
        <v>247.845</v>
      </c>
      <c r="R126" s="426">
        <f t="shared" si="24"/>
        <v>24.784500000000001</v>
      </c>
      <c r="S126" s="426">
        <f>IF(Q126&lt;1,0,Q126-R126)</f>
        <v>223.06049999999999</v>
      </c>
      <c r="T126" s="356"/>
      <c r="U126" s="422">
        <f t="shared" si="28"/>
        <v>15.5</v>
      </c>
      <c r="V126" s="426">
        <f>IF(C126="BELO HORIZONTE",$R$6,$T$6)</f>
        <v>7.4</v>
      </c>
      <c r="W126" s="426">
        <f>V126*U126</f>
        <v>114.7</v>
      </c>
      <c r="X126" s="126">
        <f>IF(U126&lt;20,IF(W126&lt;M126*6/100,(W126),(M126*6/100)),IF(W126&lt;J126*6/100,(W126),(J126*6/100)))</f>
        <v>96.171599999999998</v>
      </c>
      <c r="Y126" s="427">
        <f>W126-X126</f>
        <v>18.528400000000005</v>
      </c>
      <c r="Z126" s="392"/>
      <c r="AA126" s="428"/>
      <c r="AB126" s="395"/>
      <c r="AC126" s="430"/>
      <c r="AD126" s="430"/>
      <c r="AE126" s="432"/>
      <c r="AF126" s="433"/>
      <c r="AG126" s="433"/>
    </row>
    <row r="127" spans="1:33" s="393" customFormat="1" ht="15.95" customHeight="1">
      <c r="A127" s="319">
        <f>'BANCO DADOS-CUSTO TOTAL'!A126</f>
        <v>1</v>
      </c>
      <c r="B127" s="319">
        <f>'BANCO DADOS-CUSTO TOTAL'!B126</f>
        <v>1</v>
      </c>
      <c r="C127" s="319" t="str">
        <f>'BANCO DADOS-CUSTO TOTAL'!C126</f>
        <v>São Lourenço</v>
      </c>
      <c r="D127" s="320">
        <f>'BANCO DADOS-CUSTO TOTAL'!F126</f>
        <v>87</v>
      </c>
      <c r="E127" s="100">
        <f>'BANCO DADOS-CUSTO TOTAL'!G126</f>
        <v>12427</v>
      </c>
      <c r="F127" s="100" t="str">
        <f>'BANCO DADOS-CUSTO TOTAL'!H126</f>
        <v>BELTRANO 12427</v>
      </c>
      <c r="G127" s="100" t="str">
        <f>'BANCO DADOS-CUSTO TOTAL'!I126</f>
        <v>VIGILANTE ARMADO - 12X36 DIURNO</v>
      </c>
      <c r="H127" s="100" t="str">
        <f>'BANCO DADOS-CUSTO TOTAL'!K126</f>
        <v>São LourençoVIGILANTE ARMADO - 12X36 DIURNO</v>
      </c>
      <c r="I127" s="101" t="str">
        <f>'BANCO DADOS-CUSTO TOTAL'!J126</f>
        <v>Efetivo</v>
      </c>
      <c r="J127" s="399">
        <f>'BANCO DADOS-CUSTO TOTAL'!Q126</f>
        <v>1602.86</v>
      </c>
      <c r="K127" s="539">
        <f>'BANCO DADOS-CUSTO TOTAL'!Z126</f>
        <v>0</v>
      </c>
      <c r="L127" s="100">
        <f>'BANCO DADOS-CUSTO TOTAL'!AA126</f>
        <v>30</v>
      </c>
      <c r="M127" s="383">
        <f>(J127/30)*(L127-K127)</f>
        <v>1602.86</v>
      </c>
      <c r="N127" s="101"/>
      <c r="O127" s="422">
        <f>IF(G127="VIGILANTE ARMADO - 220 H",20,15.5)</f>
        <v>15.5</v>
      </c>
      <c r="P127" s="356">
        <f>VLOOKUP(H127,PARAMETROS!E:AX,12,0)</f>
        <v>15.99</v>
      </c>
      <c r="Q127" s="426">
        <f>O127*P127</f>
        <v>247.845</v>
      </c>
      <c r="R127" s="426">
        <f t="shared" si="24"/>
        <v>24.784500000000001</v>
      </c>
      <c r="S127" s="426">
        <f>IF(Q127&lt;1,0,Q127-R127)</f>
        <v>223.06049999999999</v>
      </c>
      <c r="T127" s="356"/>
      <c r="U127" s="422">
        <f t="shared" si="28"/>
        <v>15.5</v>
      </c>
      <c r="V127" s="426">
        <f>IF(C127="BELO HORIZONTE",$R$6,$T$6)</f>
        <v>7.4</v>
      </c>
      <c r="W127" s="426">
        <f>V127*U127</f>
        <v>114.7</v>
      </c>
      <c r="X127" s="126">
        <f>IF(U127&lt;20,IF(W127&lt;M127*6/100,(W127),(M127*6/100)),IF(W127&lt;J127*6/100,(W127),(J127*6/100)))</f>
        <v>96.171599999999998</v>
      </c>
      <c r="Y127" s="427">
        <f>W127-X127</f>
        <v>18.528400000000005</v>
      </c>
      <c r="Z127" s="392"/>
      <c r="AA127" s="428"/>
      <c r="AB127" s="395"/>
      <c r="AC127" s="430"/>
      <c r="AD127" s="430"/>
      <c r="AE127" s="432"/>
      <c r="AF127" s="433"/>
      <c r="AG127" s="433"/>
    </row>
    <row r="128" spans="1:33" s="554" customFormat="1" ht="15.95" customHeight="1">
      <c r="A128" s="540"/>
      <c r="B128" s="540"/>
      <c r="C128" s="540" t="str">
        <f>'BANCO DADOS-CUSTO TOTAL'!C127</f>
        <v>TOTAL SÃO LOURENÇO</v>
      </c>
      <c r="D128" s="541"/>
      <c r="E128" s="542"/>
      <c r="F128" s="542"/>
      <c r="G128" s="542"/>
      <c r="H128" s="542"/>
      <c r="I128" s="543"/>
      <c r="J128" s="544"/>
      <c r="K128" s="545"/>
      <c r="L128" s="542"/>
      <c r="M128" s="460"/>
      <c r="N128" s="543"/>
      <c r="O128" s="546"/>
      <c r="P128" s="459"/>
      <c r="Q128" s="544"/>
      <c r="R128" s="544"/>
      <c r="S128" s="544"/>
      <c r="T128" s="459"/>
      <c r="U128" s="546"/>
      <c r="V128" s="544"/>
      <c r="W128" s="544"/>
      <c r="X128" s="461"/>
      <c r="Y128" s="547"/>
      <c r="Z128" s="548"/>
      <c r="AA128" s="549" t="s">
        <v>3830</v>
      </c>
      <c r="AB128" s="550"/>
      <c r="AC128" s="551"/>
      <c r="AD128" s="551"/>
      <c r="AE128" s="552"/>
      <c r="AF128" s="553"/>
      <c r="AG128" s="553"/>
    </row>
    <row r="129" spans="1:33" s="393" customFormat="1" ht="15.95" customHeight="1">
      <c r="A129" s="319">
        <f>'BANCO DADOS-CUSTO TOTAL'!A128</f>
        <v>1</v>
      </c>
      <c r="B129" s="319">
        <f>'BANCO DADOS-CUSTO TOTAL'!B128</f>
        <v>1</v>
      </c>
      <c r="C129" s="319" t="str">
        <f>'BANCO DADOS-CUSTO TOTAL'!C128</f>
        <v>São Sebastião do Paraíso</v>
      </c>
      <c r="D129" s="320">
        <f>'BANCO DADOS-CUSTO TOTAL'!F128</f>
        <v>88</v>
      </c>
      <c r="E129" s="100">
        <f>'BANCO DADOS-CUSTO TOTAL'!G128</f>
        <v>12428</v>
      </c>
      <c r="F129" s="100" t="str">
        <f>'BANCO DADOS-CUSTO TOTAL'!H128</f>
        <v>BELTRANO 12428</v>
      </c>
      <c r="G129" s="100" t="str">
        <f>'BANCO DADOS-CUSTO TOTAL'!I128</f>
        <v>VIGILANTE ARMADO - 12X36 DIURNO</v>
      </c>
      <c r="H129" s="100" t="str">
        <f>'BANCO DADOS-CUSTO TOTAL'!K128</f>
        <v>São Sebastião do ParaísoVIGILANTE ARMADO - 12X36 DIURNO</v>
      </c>
      <c r="I129" s="101" t="str">
        <f>'BANCO DADOS-CUSTO TOTAL'!J128</f>
        <v>Efetivo</v>
      </c>
      <c r="J129" s="399">
        <f>'BANCO DADOS-CUSTO TOTAL'!Q128</f>
        <v>1602.86</v>
      </c>
      <c r="K129" s="539">
        <f>'BANCO DADOS-CUSTO TOTAL'!Z128</f>
        <v>0</v>
      </c>
      <c r="L129" s="100">
        <f>'BANCO DADOS-CUSTO TOTAL'!AA128</f>
        <v>21</v>
      </c>
      <c r="M129" s="383">
        <f>(J129/30)*(L129-K129)</f>
        <v>1122.002</v>
      </c>
      <c r="N129" s="101"/>
      <c r="O129" s="422">
        <f>IF(G129="VIGILANTE ARMADO - 220 H",20,15.5)</f>
        <v>15.5</v>
      </c>
      <c r="P129" s="356">
        <f>VLOOKUP(H129,PARAMETROS!E:AX,12,0)</f>
        <v>15.99</v>
      </c>
      <c r="Q129" s="426">
        <f>O129*P129</f>
        <v>247.845</v>
      </c>
      <c r="R129" s="426">
        <f t="shared" si="24"/>
        <v>24.784500000000001</v>
      </c>
      <c r="S129" s="426">
        <f>IF(Q129&lt;1,0,Q129-R129)</f>
        <v>223.06049999999999</v>
      </c>
      <c r="T129" s="356"/>
      <c r="U129" s="422">
        <f t="shared" si="28"/>
        <v>15.5</v>
      </c>
      <c r="V129" s="426">
        <f>IF(C129="BELO HORIZONTE",$R$6,$T$6)</f>
        <v>7.4</v>
      </c>
      <c r="W129" s="426">
        <f>V129*U129</f>
        <v>114.7</v>
      </c>
      <c r="X129" s="126">
        <f>IF(U129&lt;20,IF(W129&lt;M129*6/100,(W129),(M129*6/100)),IF(W129&lt;J129*6/100,(W129),(J129*6/100)))</f>
        <v>67.320120000000003</v>
      </c>
      <c r="Y129" s="427">
        <f>W129-X129</f>
        <v>47.37988</v>
      </c>
      <c r="Z129" s="392"/>
      <c r="AA129" s="428"/>
      <c r="AB129" s="395"/>
      <c r="AC129" s="430"/>
      <c r="AD129" s="430"/>
      <c r="AE129" s="432"/>
      <c r="AF129" s="433"/>
      <c r="AG129" s="433"/>
    </row>
    <row r="130" spans="1:33" s="393" customFormat="1" ht="15.95" customHeight="1">
      <c r="A130" s="319">
        <f>'BANCO DADOS-CUSTO TOTAL'!A129</f>
        <v>1</v>
      </c>
      <c r="B130" s="319">
        <f>'BANCO DADOS-CUSTO TOTAL'!B129</f>
        <v>0</v>
      </c>
      <c r="C130" s="319" t="str">
        <f>'BANCO DADOS-CUSTO TOTAL'!C129</f>
        <v>São Sebastião do Paraíso</v>
      </c>
      <c r="D130" s="320">
        <f>'BANCO DADOS-CUSTO TOTAL'!F129</f>
        <v>205</v>
      </c>
      <c r="E130" s="100">
        <f>'BANCO DADOS-CUSTO TOTAL'!G129</f>
        <v>124205</v>
      </c>
      <c r="F130" s="100" t="str">
        <f>'BANCO DADOS-CUSTO TOTAL'!H129</f>
        <v>BELTRANO 124205.</v>
      </c>
      <c r="G130" s="100" t="str">
        <f>'BANCO DADOS-CUSTO TOTAL'!I129</f>
        <v>VIGILANTE ARMADO - 12X36 DIURNO</v>
      </c>
      <c r="H130" s="100" t="str">
        <f>'BANCO DADOS-CUSTO TOTAL'!K129</f>
        <v>São Sebastião do ParaísoVIGILANTE ARMADO - 12X36 DIURNO</v>
      </c>
      <c r="I130" s="101" t="str">
        <f>'BANCO DADOS-CUSTO TOTAL'!J129</f>
        <v>Substituto</v>
      </c>
      <c r="J130" s="399">
        <f>'BANCO DADOS-CUSTO TOTAL'!Q129</f>
        <v>1602.86</v>
      </c>
      <c r="K130" s="539">
        <f>'BANCO DADOS-CUSTO TOTAL'!Z129</f>
        <v>0</v>
      </c>
      <c r="L130" s="100">
        <f>'BANCO DADOS-CUSTO TOTAL'!AA129</f>
        <v>9</v>
      </c>
      <c r="M130" s="383">
        <f t="shared" ref="M130:M155" si="33">(J130/30)*(L130-K130)</f>
        <v>480.858</v>
      </c>
      <c r="N130" s="101"/>
      <c r="O130" s="422">
        <v>0</v>
      </c>
      <c r="P130" s="356">
        <f>VLOOKUP(H130,PARAMETROS!E:AX,12,0)</f>
        <v>15.99</v>
      </c>
      <c r="Q130" s="426">
        <f t="shared" ref="Q130:Q155" si="34">O130*P130</f>
        <v>0</v>
      </c>
      <c r="R130" s="426">
        <f t="shared" si="24"/>
        <v>0</v>
      </c>
      <c r="S130" s="426">
        <f t="shared" ref="S130:S155" si="35">IF(Q130&lt;1,0,Q130-R130)</f>
        <v>0</v>
      </c>
      <c r="T130" s="356"/>
      <c r="U130" s="422">
        <f t="shared" si="28"/>
        <v>0</v>
      </c>
      <c r="V130" s="426">
        <f t="shared" ref="V130:V155" si="36">IF(C130="BELO HORIZONTE",$R$6,$T$6)</f>
        <v>7.4</v>
      </c>
      <c r="W130" s="426">
        <f t="shared" ref="W130:W155" si="37">V130*U130</f>
        <v>0</v>
      </c>
      <c r="X130" s="126">
        <f t="shared" ref="X130:X155" si="38">IF(U130&lt;20,IF(W130&lt;M130*6/100,(W130),(M130*6/100)),IF(W130&lt;J130*6/100,(W130),(J130*6/100)))</f>
        <v>0</v>
      </c>
      <c r="Y130" s="427">
        <f t="shared" ref="Y130:Y155" si="39">W130-X130</f>
        <v>0</v>
      </c>
      <c r="Z130" s="392"/>
      <c r="AA130" s="428"/>
      <c r="AB130" s="395"/>
      <c r="AC130" s="430"/>
      <c r="AD130" s="430"/>
      <c r="AE130" s="432"/>
      <c r="AF130" s="433"/>
      <c r="AG130" s="433"/>
    </row>
    <row r="131" spans="1:33" s="393" customFormat="1" ht="15.95" customHeight="1">
      <c r="A131" s="319">
        <f>'BANCO DADOS-CUSTO TOTAL'!A130</f>
        <v>1</v>
      </c>
      <c r="B131" s="319">
        <f>'BANCO DADOS-CUSTO TOTAL'!B130</f>
        <v>1</v>
      </c>
      <c r="C131" s="319" t="str">
        <f>'BANCO DADOS-CUSTO TOTAL'!C130</f>
        <v>São Sebastião do Paraíso</v>
      </c>
      <c r="D131" s="320">
        <f>'BANCO DADOS-CUSTO TOTAL'!F130</f>
        <v>89</v>
      </c>
      <c r="E131" s="100">
        <f>'BANCO DADOS-CUSTO TOTAL'!G130</f>
        <v>12429</v>
      </c>
      <c r="F131" s="100" t="str">
        <f>'BANCO DADOS-CUSTO TOTAL'!H130</f>
        <v>BELTRANO 12429</v>
      </c>
      <c r="G131" s="100" t="str">
        <f>'BANCO DADOS-CUSTO TOTAL'!I130</f>
        <v>VIGILANTE ARMADO - 12X36 DIURNO</v>
      </c>
      <c r="H131" s="100" t="str">
        <f>'BANCO DADOS-CUSTO TOTAL'!K130</f>
        <v>São Sebastião do ParaísoVIGILANTE ARMADO - 12X36 DIURNO</v>
      </c>
      <c r="I131" s="101" t="str">
        <f>'BANCO DADOS-CUSTO TOTAL'!J130</f>
        <v>Efetivo</v>
      </c>
      <c r="J131" s="399">
        <f>'BANCO DADOS-CUSTO TOTAL'!Q130</f>
        <v>1602.86</v>
      </c>
      <c r="K131" s="539">
        <f>'BANCO DADOS-CUSTO TOTAL'!Z130</f>
        <v>0</v>
      </c>
      <c r="L131" s="100">
        <f>'BANCO DADOS-CUSTO TOTAL'!AA130</f>
        <v>9</v>
      </c>
      <c r="M131" s="383">
        <f t="shared" si="33"/>
        <v>480.858</v>
      </c>
      <c r="N131" s="101"/>
      <c r="O131" s="422">
        <f>IF(G131="VIGILANTE ARMADO - 220 H",20,15.5)</f>
        <v>15.5</v>
      </c>
      <c r="P131" s="356">
        <f>VLOOKUP(H131,PARAMETROS!E:AX,12,0)</f>
        <v>15.99</v>
      </c>
      <c r="Q131" s="426">
        <f t="shared" si="34"/>
        <v>247.845</v>
      </c>
      <c r="R131" s="426">
        <f t="shared" si="24"/>
        <v>24.784500000000001</v>
      </c>
      <c r="S131" s="426">
        <f t="shared" si="35"/>
        <v>223.06049999999999</v>
      </c>
      <c r="T131" s="356"/>
      <c r="U131" s="422">
        <f t="shared" si="28"/>
        <v>15.5</v>
      </c>
      <c r="V131" s="426">
        <f t="shared" si="36"/>
        <v>7.4</v>
      </c>
      <c r="W131" s="426">
        <f t="shared" si="37"/>
        <v>114.7</v>
      </c>
      <c r="X131" s="126">
        <f t="shared" si="38"/>
        <v>28.851480000000002</v>
      </c>
      <c r="Y131" s="427">
        <f t="shared" si="39"/>
        <v>85.848520000000008</v>
      </c>
      <c r="Z131" s="392"/>
      <c r="AA131" s="428"/>
      <c r="AB131" s="395"/>
      <c r="AC131" s="430"/>
      <c r="AD131" s="430"/>
      <c r="AE131" s="432"/>
      <c r="AF131" s="433"/>
      <c r="AG131" s="433"/>
    </row>
    <row r="132" spans="1:33" s="393" customFormat="1" ht="15.95" customHeight="1">
      <c r="A132" s="319">
        <f>'BANCO DADOS-CUSTO TOTAL'!A131</f>
        <v>1</v>
      </c>
      <c r="B132" s="319">
        <f>'BANCO DADOS-CUSTO TOTAL'!B131</f>
        <v>0</v>
      </c>
      <c r="C132" s="319" t="str">
        <f>'BANCO DADOS-CUSTO TOTAL'!C131</f>
        <v>São Sebastião do Paraíso</v>
      </c>
      <c r="D132" s="320">
        <f>'BANCO DADOS-CUSTO TOTAL'!F131</f>
        <v>205</v>
      </c>
      <c r="E132" s="100">
        <f>'BANCO DADOS-CUSTO TOTAL'!G131</f>
        <v>124205</v>
      </c>
      <c r="F132" s="100" t="str">
        <f>'BANCO DADOS-CUSTO TOTAL'!H131</f>
        <v>BELTRANO 124205</v>
      </c>
      <c r="G132" s="100" t="str">
        <f>'BANCO DADOS-CUSTO TOTAL'!I131</f>
        <v>VIGILANTE ARMADO - 12X36 DIURNO</v>
      </c>
      <c r="H132" s="100" t="str">
        <f>'BANCO DADOS-CUSTO TOTAL'!K131</f>
        <v>São Sebastião do ParaísoVIGILANTE ARMADO - 12X36 DIURNO</v>
      </c>
      <c r="I132" s="101" t="str">
        <f>'BANCO DADOS-CUSTO TOTAL'!J131</f>
        <v>Substituto</v>
      </c>
      <c r="J132" s="399">
        <f>'BANCO DADOS-CUSTO TOTAL'!Q131</f>
        <v>1602.86</v>
      </c>
      <c r="K132" s="539">
        <f>'BANCO DADOS-CUSTO TOTAL'!Z131</f>
        <v>0</v>
      </c>
      <c r="L132" s="100">
        <f>'BANCO DADOS-CUSTO TOTAL'!AA131</f>
        <v>21</v>
      </c>
      <c r="M132" s="383">
        <f t="shared" si="33"/>
        <v>1122.002</v>
      </c>
      <c r="N132" s="101"/>
      <c r="O132" s="422">
        <v>0</v>
      </c>
      <c r="P132" s="356">
        <f>VLOOKUP(H132,PARAMETROS!E:AX,12,0)</f>
        <v>15.99</v>
      </c>
      <c r="Q132" s="426">
        <f t="shared" si="34"/>
        <v>0</v>
      </c>
      <c r="R132" s="426">
        <f t="shared" si="24"/>
        <v>0</v>
      </c>
      <c r="S132" s="426">
        <f t="shared" si="35"/>
        <v>0</v>
      </c>
      <c r="T132" s="356"/>
      <c r="U132" s="422">
        <f t="shared" si="28"/>
        <v>0</v>
      </c>
      <c r="V132" s="426">
        <f t="shared" si="36"/>
        <v>7.4</v>
      </c>
      <c r="W132" s="426">
        <f t="shared" si="37"/>
        <v>0</v>
      </c>
      <c r="X132" s="126">
        <f t="shared" si="38"/>
        <v>0</v>
      </c>
      <c r="Y132" s="427">
        <f t="shared" si="39"/>
        <v>0</v>
      </c>
      <c r="Z132" s="392"/>
      <c r="AA132" s="428"/>
      <c r="AB132" s="395"/>
      <c r="AC132" s="430"/>
      <c r="AD132" s="430"/>
      <c r="AE132" s="432"/>
      <c r="AF132" s="433"/>
      <c r="AG132" s="433"/>
    </row>
    <row r="133" spans="1:33" s="554" customFormat="1" ht="15.95" customHeight="1">
      <c r="A133" s="540"/>
      <c r="B133" s="540"/>
      <c r="C133" s="540" t="str">
        <f>'BANCO DADOS-CUSTO TOTAL'!C132</f>
        <v>TOTAL SÃO SEBASTIÃO DO PARAÍSO</v>
      </c>
      <c r="D133" s="541"/>
      <c r="E133" s="542"/>
      <c r="F133" s="542"/>
      <c r="G133" s="542"/>
      <c r="H133" s="542"/>
      <c r="I133" s="543"/>
      <c r="J133" s="544"/>
      <c r="K133" s="545"/>
      <c r="L133" s="542"/>
      <c r="M133" s="460"/>
      <c r="N133" s="543"/>
      <c r="O133" s="546"/>
      <c r="P133" s="459"/>
      <c r="Q133" s="544"/>
      <c r="R133" s="544"/>
      <c r="S133" s="544"/>
      <c r="T133" s="459"/>
      <c r="U133" s="546"/>
      <c r="V133" s="544"/>
      <c r="W133" s="544"/>
      <c r="X133" s="461"/>
      <c r="Y133" s="547"/>
      <c r="Z133" s="548"/>
      <c r="AA133" s="549" t="s">
        <v>3830</v>
      </c>
      <c r="AB133" s="550"/>
      <c r="AC133" s="551"/>
      <c r="AD133" s="551"/>
      <c r="AE133" s="552"/>
      <c r="AF133" s="553"/>
      <c r="AG133" s="553"/>
    </row>
    <row r="134" spans="1:33" s="393" customFormat="1" ht="15.95" customHeight="1">
      <c r="A134" s="319">
        <f>'BANCO DADOS-CUSTO TOTAL'!A133</f>
        <v>1</v>
      </c>
      <c r="B134" s="319">
        <f>'BANCO DADOS-CUSTO TOTAL'!B133</f>
        <v>1</v>
      </c>
      <c r="C134" s="319" t="str">
        <f>'BANCO DADOS-CUSTO TOTAL'!C133</f>
        <v>Sete Lagoas</v>
      </c>
      <c r="D134" s="320">
        <f>'BANCO DADOS-CUSTO TOTAL'!F133</f>
        <v>90</v>
      </c>
      <c r="E134" s="100">
        <f>'BANCO DADOS-CUSTO TOTAL'!G133</f>
        <v>12430</v>
      </c>
      <c r="F134" s="100" t="str">
        <f>'BANCO DADOS-CUSTO TOTAL'!H133</f>
        <v>BELTRANO 12430</v>
      </c>
      <c r="G134" s="100" t="str">
        <f>'BANCO DADOS-CUSTO TOTAL'!I133</f>
        <v>VIGILANTE ARMADO - 12X36 DIURNO</v>
      </c>
      <c r="H134" s="100" t="str">
        <f>'BANCO DADOS-CUSTO TOTAL'!K133</f>
        <v>Sete LagoasVIGILANTE ARMADO - 12X36 DIURNO</v>
      </c>
      <c r="I134" s="101" t="str">
        <f>'BANCO DADOS-CUSTO TOTAL'!J133</f>
        <v>Efetivo</v>
      </c>
      <c r="J134" s="399">
        <f>'BANCO DADOS-CUSTO TOTAL'!Q133</f>
        <v>1602.86</v>
      </c>
      <c r="K134" s="539">
        <f>'BANCO DADOS-CUSTO TOTAL'!Z133</f>
        <v>0</v>
      </c>
      <c r="L134" s="100">
        <f>'BANCO DADOS-CUSTO TOTAL'!AA133</f>
        <v>30</v>
      </c>
      <c r="M134" s="383">
        <f t="shared" si="33"/>
        <v>1602.86</v>
      </c>
      <c r="N134" s="101"/>
      <c r="O134" s="422">
        <f>IF(G134="VIGILANTE ARMADO - 220 H",20,15.5)</f>
        <v>15.5</v>
      </c>
      <c r="P134" s="356">
        <f>VLOOKUP(H134,PARAMETROS!E:AX,12,0)</f>
        <v>15.99</v>
      </c>
      <c r="Q134" s="426">
        <f t="shared" si="34"/>
        <v>247.845</v>
      </c>
      <c r="R134" s="426">
        <f t="shared" si="24"/>
        <v>24.784500000000001</v>
      </c>
      <c r="S134" s="426">
        <f t="shared" si="35"/>
        <v>223.06049999999999</v>
      </c>
      <c r="T134" s="356"/>
      <c r="U134" s="422">
        <f t="shared" si="28"/>
        <v>15.5</v>
      </c>
      <c r="V134" s="426">
        <f t="shared" si="36"/>
        <v>7.4</v>
      </c>
      <c r="W134" s="426">
        <f t="shared" si="37"/>
        <v>114.7</v>
      </c>
      <c r="X134" s="126">
        <f t="shared" si="38"/>
        <v>96.171599999999998</v>
      </c>
      <c r="Y134" s="427">
        <f t="shared" si="39"/>
        <v>18.528400000000005</v>
      </c>
      <c r="Z134" s="392"/>
      <c r="AA134" s="428"/>
      <c r="AB134" s="395"/>
      <c r="AC134" s="430"/>
      <c r="AD134" s="430"/>
      <c r="AE134" s="432"/>
      <c r="AF134" s="433"/>
      <c r="AG134" s="433"/>
    </row>
    <row r="135" spans="1:33" s="393" customFormat="1" ht="15.95" customHeight="1">
      <c r="A135" s="319">
        <f>'BANCO DADOS-CUSTO TOTAL'!A134</f>
        <v>1</v>
      </c>
      <c r="B135" s="319">
        <f>'BANCO DADOS-CUSTO TOTAL'!B134</f>
        <v>1</v>
      </c>
      <c r="C135" s="319" t="str">
        <f>'BANCO DADOS-CUSTO TOTAL'!C134</f>
        <v>Sete Lagoas</v>
      </c>
      <c r="D135" s="320">
        <f>'BANCO DADOS-CUSTO TOTAL'!F134</f>
        <v>91</v>
      </c>
      <c r="E135" s="100">
        <f>'BANCO DADOS-CUSTO TOTAL'!G134</f>
        <v>12431</v>
      </c>
      <c r="F135" s="100" t="str">
        <f>'BANCO DADOS-CUSTO TOTAL'!H134</f>
        <v>BELTRANO 12431</v>
      </c>
      <c r="G135" s="100" t="str">
        <f>'BANCO DADOS-CUSTO TOTAL'!I134</f>
        <v>VIGILANTE ARMADO - 12X36 DIURNO</v>
      </c>
      <c r="H135" s="100" t="str">
        <f>'BANCO DADOS-CUSTO TOTAL'!K134</f>
        <v>Sete LagoasVIGILANTE ARMADO - 12X36 DIURNO</v>
      </c>
      <c r="I135" s="101" t="str">
        <f>'BANCO DADOS-CUSTO TOTAL'!J134</f>
        <v>Efetivo</v>
      </c>
      <c r="J135" s="399">
        <f>'BANCO DADOS-CUSTO TOTAL'!Q134</f>
        <v>1602.86</v>
      </c>
      <c r="K135" s="539">
        <f>'BANCO DADOS-CUSTO TOTAL'!Z134</f>
        <v>0</v>
      </c>
      <c r="L135" s="100">
        <f>'BANCO DADOS-CUSTO TOTAL'!AA134</f>
        <v>30</v>
      </c>
      <c r="M135" s="383">
        <f t="shared" si="33"/>
        <v>1602.86</v>
      </c>
      <c r="N135" s="101"/>
      <c r="O135" s="422">
        <f>IF(G135="VIGILANTE ARMADO - 220 H",20,15.5)</f>
        <v>15.5</v>
      </c>
      <c r="P135" s="356">
        <f>VLOOKUP(H135,PARAMETROS!E:AX,12,0)</f>
        <v>15.99</v>
      </c>
      <c r="Q135" s="426">
        <f t="shared" si="34"/>
        <v>247.845</v>
      </c>
      <c r="R135" s="426">
        <f t="shared" si="24"/>
        <v>24.784500000000001</v>
      </c>
      <c r="S135" s="426">
        <f t="shared" si="35"/>
        <v>223.06049999999999</v>
      </c>
      <c r="T135" s="356"/>
      <c r="U135" s="422">
        <f t="shared" si="28"/>
        <v>15.5</v>
      </c>
      <c r="V135" s="426">
        <f t="shared" si="36"/>
        <v>7.4</v>
      </c>
      <c r="W135" s="426">
        <f t="shared" si="37"/>
        <v>114.7</v>
      </c>
      <c r="X135" s="126">
        <f t="shared" si="38"/>
        <v>96.171599999999998</v>
      </c>
      <c r="Y135" s="427">
        <f t="shared" si="39"/>
        <v>18.528400000000005</v>
      </c>
      <c r="Z135" s="392"/>
      <c r="AA135" s="428"/>
      <c r="AB135" s="395"/>
      <c r="AC135" s="430"/>
      <c r="AD135" s="430"/>
      <c r="AE135" s="432"/>
      <c r="AF135" s="433"/>
      <c r="AG135" s="433"/>
    </row>
    <row r="136" spans="1:33" s="554" customFormat="1" ht="15.95" customHeight="1">
      <c r="A136" s="540"/>
      <c r="B136" s="540"/>
      <c r="C136" s="540" t="str">
        <f>'BANCO DADOS-CUSTO TOTAL'!C135</f>
        <v>TOTAL SETE LAGOAS</v>
      </c>
      <c r="D136" s="541"/>
      <c r="E136" s="542"/>
      <c r="F136" s="542"/>
      <c r="G136" s="542"/>
      <c r="H136" s="542"/>
      <c r="I136" s="543"/>
      <c r="J136" s="544"/>
      <c r="K136" s="545"/>
      <c r="L136" s="542"/>
      <c r="M136" s="460"/>
      <c r="N136" s="543"/>
      <c r="O136" s="546"/>
      <c r="P136" s="459"/>
      <c r="Q136" s="544"/>
      <c r="R136" s="544"/>
      <c r="S136" s="544"/>
      <c r="T136" s="459"/>
      <c r="U136" s="546"/>
      <c r="V136" s="544"/>
      <c r="W136" s="544"/>
      <c r="X136" s="461"/>
      <c r="Y136" s="547"/>
      <c r="Z136" s="548"/>
      <c r="AA136" s="549" t="s">
        <v>3830</v>
      </c>
      <c r="AB136" s="550"/>
      <c r="AC136" s="551"/>
      <c r="AD136" s="551"/>
      <c r="AE136" s="552"/>
      <c r="AF136" s="553"/>
      <c r="AG136" s="553"/>
    </row>
    <row r="137" spans="1:33" s="393" customFormat="1" ht="15.95" customHeight="1">
      <c r="A137" s="319">
        <f>'BANCO DADOS-CUSTO TOTAL'!A136</f>
        <v>1</v>
      </c>
      <c r="B137" s="319">
        <f>'BANCO DADOS-CUSTO TOTAL'!B136</f>
        <v>1</v>
      </c>
      <c r="C137" s="319" t="str">
        <f>'BANCO DADOS-CUSTO TOTAL'!C136</f>
        <v>Uberaba</v>
      </c>
      <c r="D137" s="320">
        <f>'BANCO DADOS-CUSTO TOTAL'!F136</f>
        <v>92</v>
      </c>
      <c r="E137" s="100">
        <f>'BANCO DADOS-CUSTO TOTAL'!G136</f>
        <v>12432</v>
      </c>
      <c r="F137" s="100" t="str">
        <f>'BANCO DADOS-CUSTO TOTAL'!H136</f>
        <v>BELTRANO 12432</v>
      </c>
      <c r="G137" s="100" t="str">
        <f>'BANCO DADOS-CUSTO TOTAL'!I136</f>
        <v>VIGILANTE ARMADO - 12X36 DIURNO</v>
      </c>
      <c r="H137" s="100" t="str">
        <f>'BANCO DADOS-CUSTO TOTAL'!K136</f>
        <v>UberabaVIGILANTE ARMADO - 12X36 DIURNO</v>
      </c>
      <c r="I137" s="101" t="str">
        <f>'BANCO DADOS-CUSTO TOTAL'!J136</f>
        <v>Efetivo</v>
      </c>
      <c r="J137" s="399">
        <f>'BANCO DADOS-CUSTO TOTAL'!Q136</f>
        <v>1602.86</v>
      </c>
      <c r="K137" s="539">
        <f>'BANCO DADOS-CUSTO TOTAL'!Z136</f>
        <v>0</v>
      </c>
      <c r="L137" s="100">
        <f>'BANCO DADOS-CUSTO TOTAL'!AA136</f>
        <v>30</v>
      </c>
      <c r="M137" s="383">
        <f t="shared" si="33"/>
        <v>1602.86</v>
      </c>
      <c r="N137" s="101"/>
      <c r="O137" s="422">
        <f>IF(G137="VIGILANTE ARMADO - 220 H",20,15.5)</f>
        <v>15.5</v>
      </c>
      <c r="P137" s="356">
        <f>VLOOKUP(H137,PARAMETROS!E:AX,12,0)</f>
        <v>15.99</v>
      </c>
      <c r="Q137" s="426">
        <f t="shared" si="34"/>
        <v>247.845</v>
      </c>
      <c r="R137" s="426">
        <f t="shared" si="24"/>
        <v>24.784500000000001</v>
      </c>
      <c r="S137" s="426">
        <f t="shared" si="35"/>
        <v>223.06049999999999</v>
      </c>
      <c r="T137" s="356"/>
      <c r="U137" s="422">
        <f t="shared" si="28"/>
        <v>15.5</v>
      </c>
      <c r="V137" s="426">
        <f t="shared" si="36"/>
        <v>7.4</v>
      </c>
      <c r="W137" s="426">
        <f t="shared" si="37"/>
        <v>114.7</v>
      </c>
      <c r="X137" s="126">
        <f t="shared" si="38"/>
        <v>96.171599999999998</v>
      </c>
      <c r="Y137" s="427">
        <f t="shared" si="39"/>
        <v>18.528400000000005</v>
      </c>
      <c r="Z137" s="392"/>
      <c r="AA137" s="428"/>
      <c r="AB137" s="395"/>
      <c r="AC137" s="430"/>
      <c r="AD137" s="430"/>
      <c r="AE137" s="432"/>
      <c r="AF137" s="433"/>
      <c r="AG137" s="433"/>
    </row>
    <row r="138" spans="1:33" s="393" customFormat="1" ht="15.95" customHeight="1">
      <c r="A138" s="319">
        <f>'BANCO DADOS-CUSTO TOTAL'!A137</f>
        <v>1</v>
      </c>
      <c r="B138" s="319">
        <f>'BANCO DADOS-CUSTO TOTAL'!B137</f>
        <v>1</v>
      </c>
      <c r="C138" s="319" t="str">
        <f>'BANCO DADOS-CUSTO TOTAL'!C137</f>
        <v>Uberaba</v>
      </c>
      <c r="D138" s="320">
        <f>'BANCO DADOS-CUSTO TOTAL'!F137</f>
        <v>93</v>
      </c>
      <c r="E138" s="100">
        <f>'BANCO DADOS-CUSTO TOTAL'!G137</f>
        <v>12433</v>
      </c>
      <c r="F138" s="100" t="str">
        <f>'BANCO DADOS-CUSTO TOTAL'!H137</f>
        <v>BELTRANO 12433</v>
      </c>
      <c r="G138" s="100" t="str">
        <f>'BANCO DADOS-CUSTO TOTAL'!I137</f>
        <v>VIGILANTE ARMADO - 12X36 DIURNO</v>
      </c>
      <c r="H138" s="100" t="str">
        <f>'BANCO DADOS-CUSTO TOTAL'!K137</f>
        <v>UberabaVIGILANTE ARMADO - 12X36 DIURNO</v>
      </c>
      <c r="I138" s="101" t="str">
        <f>'BANCO DADOS-CUSTO TOTAL'!J137</f>
        <v>Efetivo</v>
      </c>
      <c r="J138" s="399">
        <f>'BANCO DADOS-CUSTO TOTAL'!Q137</f>
        <v>1602.86</v>
      </c>
      <c r="K138" s="539">
        <f>'BANCO DADOS-CUSTO TOTAL'!Z137</f>
        <v>0</v>
      </c>
      <c r="L138" s="100">
        <f>'BANCO DADOS-CUSTO TOTAL'!AA137</f>
        <v>30</v>
      </c>
      <c r="M138" s="383">
        <f t="shared" si="33"/>
        <v>1602.86</v>
      </c>
      <c r="N138" s="101"/>
      <c r="O138" s="422">
        <f>IF(G138="VIGILANTE ARMADO - 220 H",20,15.5)</f>
        <v>15.5</v>
      </c>
      <c r="P138" s="356">
        <f>VLOOKUP(H138,PARAMETROS!E:AX,12,0)</f>
        <v>15.99</v>
      </c>
      <c r="Q138" s="426">
        <f t="shared" si="34"/>
        <v>247.845</v>
      </c>
      <c r="R138" s="426">
        <f>Q138*10%</f>
        <v>24.784500000000001</v>
      </c>
      <c r="S138" s="426">
        <f t="shared" si="35"/>
        <v>223.06049999999999</v>
      </c>
      <c r="T138" s="356"/>
      <c r="U138" s="422">
        <f t="shared" si="28"/>
        <v>15.5</v>
      </c>
      <c r="V138" s="426">
        <f t="shared" si="36"/>
        <v>7.4</v>
      </c>
      <c r="W138" s="426">
        <f t="shared" si="37"/>
        <v>114.7</v>
      </c>
      <c r="X138" s="126">
        <f t="shared" si="38"/>
        <v>96.171599999999998</v>
      </c>
      <c r="Y138" s="427">
        <f t="shared" si="39"/>
        <v>18.528400000000005</v>
      </c>
      <c r="Z138" s="392"/>
      <c r="AA138" s="428"/>
      <c r="AB138" s="395"/>
      <c r="AC138" s="430"/>
      <c r="AD138" s="430"/>
      <c r="AE138" s="432"/>
      <c r="AF138" s="433"/>
      <c r="AG138" s="433"/>
    </row>
    <row r="139" spans="1:33" s="393" customFormat="1" ht="15.95" customHeight="1">
      <c r="A139" s="319">
        <f>'BANCO DADOS-CUSTO TOTAL'!A138</f>
        <v>1</v>
      </c>
      <c r="B139" s="319">
        <f>'BANCO DADOS-CUSTO TOTAL'!B138</f>
        <v>1</v>
      </c>
      <c r="C139" s="319" t="str">
        <f>'BANCO DADOS-CUSTO TOTAL'!C138</f>
        <v>Uberaba</v>
      </c>
      <c r="D139" s="320">
        <f>'BANCO DADOS-CUSTO TOTAL'!F138</f>
        <v>94</v>
      </c>
      <c r="E139" s="100">
        <f>'BANCO DADOS-CUSTO TOTAL'!G138</f>
        <v>12434</v>
      </c>
      <c r="F139" s="100" t="str">
        <f>'BANCO DADOS-CUSTO TOTAL'!H138</f>
        <v>BELTRANO 12434</v>
      </c>
      <c r="G139" s="100" t="str">
        <f>'BANCO DADOS-CUSTO TOTAL'!I138</f>
        <v>VIGILANTE ARMADO - 12X36 NOTURNO</v>
      </c>
      <c r="H139" s="100" t="str">
        <f>'BANCO DADOS-CUSTO TOTAL'!K138</f>
        <v>UberabaVIGILANTE ARMADO - 12X36 NOTURNO</v>
      </c>
      <c r="I139" s="101" t="str">
        <f>'BANCO DADOS-CUSTO TOTAL'!J138</f>
        <v>Efetivo</v>
      </c>
      <c r="J139" s="399">
        <f>'BANCO DADOS-CUSTO TOTAL'!Q138</f>
        <v>1602.86</v>
      </c>
      <c r="K139" s="539">
        <f>'BANCO DADOS-CUSTO TOTAL'!Z138</f>
        <v>0</v>
      </c>
      <c r="L139" s="100">
        <f>'BANCO DADOS-CUSTO TOTAL'!AA138</f>
        <v>30</v>
      </c>
      <c r="M139" s="383">
        <f t="shared" si="33"/>
        <v>1602.86</v>
      </c>
      <c r="N139" s="101"/>
      <c r="O139" s="422">
        <f>IF(G139="VIGILANTE ARMADO - 220 H",20,15.5)</f>
        <v>15.5</v>
      </c>
      <c r="P139" s="356">
        <f>VLOOKUP(H139,PARAMETROS!E:AX,12,0)</f>
        <v>15.99</v>
      </c>
      <c r="Q139" s="426">
        <f t="shared" si="34"/>
        <v>247.845</v>
      </c>
      <c r="R139" s="426">
        <f>Q139*10%</f>
        <v>24.784500000000001</v>
      </c>
      <c r="S139" s="426">
        <f t="shared" si="35"/>
        <v>223.06049999999999</v>
      </c>
      <c r="T139" s="356"/>
      <c r="U139" s="422">
        <f t="shared" si="28"/>
        <v>15.5</v>
      </c>
      <c r="V139" s="426">
        <f t="shared" si="36"/>
        <v>7.4</v>
      </c>
      <c r="W139" s="426">
        <f t="shared" si="37"/>
        <v>114.7</v>
      </c>
      <c r="X139" s="126">
        <f t="shared" si="38"/>
        <v>96.171599999999998</v>
      </c>
      <c r="Y139" s="427">
        <f t="shared" si="39"/>
        <v>18.528400000000005</v>
      </c>
      <c r="Z139" s="392"/>
      <c r="AA139" s="428"/>
      <c r="AB139" s="395"/>
      <c r="AC139" s="430"/>
      <c r="AD139" s="430"/>
      <c r="AE139" s="432"/>
      <c r="AF139" s="433"/>
      <c r="AG139" s="433"/>
    </row>
    <row r="140" spans="1:33" s="393" customFormat="1" ht="15.95" customHeight="1">
      <c r="A140" s="319">
        <f>'BANCO DADOS-CUSTO TOTAL'!A139</f>
        <v>1</v>
      </c>
      <c r="B140" s="319">
        <f>'BANCO DADOS-CUSTO TOTAL'!B139</f>
        <v>1</v>
      </c>
      <c r="C140" s="319" t="str">
        <f>'BANCO DADOS-CUSTO TOTAL'!C139</f>
        <v>Uberaba</v>
      </c>
      <c r="D140" s="320">
        <f>'BANCO DADOS-CUSTO TOTAL'!F139</f>
        <v>95</v>
      </c>
      <c r="E140" s="100">
        <f>'BANCO DADOS-CUSTO TOTAL'!G139</f>
        <v>12435</v>
      </c>
      <c r="F140" s="100" t="str">
        <f>'BANCO DADOS-CUSTO TOTAL'!H139</f>
        <v>BELTRANO 12435</v>
      </c>
      <c r="G140" s="100" t="str">
        <f>'BANCO DADOS-CUSTO TOTAL'!I139</f>
        <v>VIGILANTE ARMADO - 12X36 NOTURNO</v>
      </c>
      <c r="H140" s="100" t="str">
        <f>'BANCO DADOS-CUSTO TOTAL'!K139</f>
        <v>UberabaVIGILANTE ARMADO - 12X36 NOTURNO</v>
      </c>
      <c r="I140" s="101" t="str">
        <f>'BANCO DADOS-CUSTO TOTAL'!J139</f>
        <v>Efetivo</v>
      </c>
      <c r="J140" s="399">
        <f>'BANCO DADOS-CUSTO TOTAL'!Q139</f>
        <v>1602.86</v>
      </c>
      <c r="K140" s="539">
        <f>'BANCO DADOS-CUSTO TOTAL'!Z139</f>
        <v>0</v>
      </c>
      <c r="L140" s="100">
        <f>'BANCO DADOS-CUSTO TOTAL'!AA139</f>
        <v>30</v>
      </c>
      <c r="M140" s="383">
        <f t="shared" si="33"/>
        <v>1602.86</v>
      </c>
      <c r="N140" s="101"/>
      <c r="O140" s="422">
        <f>IF(G140="VIGILANTE ARMADO - 220 H",20,15.5)</f>
        <v>15.5</v>
      </c>
      <c r="P140" s="356">
        <f>VLOOKUP(H140,PARAMETROS!E:AX,12,0)</f>
        <v>15.99</v>
      </c>
      <c r="Q140" s="426">
        <f t="shared" si="34"/>
        <v>247.845</v>
      </c>
      <c r="R140" s="426">
        <f>Q140*10%</f>
        <v>24.784500000000001</v>
      </c>
      <c r="S140" s="426">
        <f t="shared" si="35"/>
        <v>223.06049999999999</v>
      </c>
      <c r="T140" s="356"/>
      <c r="U140" s="422">
        <f t="shared" si="28"/>
        <v>15.5</v>
      </c>
      <c r="V140" s="426">
        <f t="shared" si="36"/>
        <v>7.4</v>
      </c>
      <c r="W140" s="426">
        <f t="shared" si="37"/>
        <v>114.7</v>
      </c>
      <c r="X140" s="126">
        <f t="shared" si="38"/>
        <v>96.171599999999998</v>
      </c>
      <c r="Y140" s="427">
        <f t="shared" si="39"/>
        <v>18.528400000000005</v>
      </c>
      <c r="Z140" s="392"/>
      <c r="AA140" s="428"/>
      <c r="AB140" s="395"/>
      <c r="AC140" s="430"/>
      <c r="AD140" s="430"/>
      <c r="AE140" s="432"/>
      <c r="AF140" s="433"/>
      <c r="AG140" s="433"/>
    </row>
    <row r="141" spans="1:33" s="554" customFormat="1" ht="15.95" customHeight="1">
      <c r="A141" s="540"/>
      <c r="B141" s="540"/>
      <c r="C141" s="540" t="str">
        <f>'BANCO DADOS-CUSTO TOTAL'!C140</f>
        <v>TOTAL UBERABA</v>
      </c>
      <c r="D141" s="541"/>
      <c r="E141" s="542"/>
      <c r="F141" s="542"/>
      <c r="G141" s="542"/>
      <c r="H141" s="542"/>
      <c r="I141" s="543"/>
      <c r="J141" s="544"/>
      <c r="K141" s="545"/>
      <c r="L141" s="542"/>
      <c r="M141" s="460"/>
      <c r="N141" s="543"/>
      <c r="O141" s="546"/>
      <c r="P141" s="459"/>
      <c r="Q141" s="544"/>
      <c r="R141" s="544"/>
      <c r="S141" s="544"/>
      <c r="T141" s="459"/>
      <c r="U141" s="546"/>
      <c r="V141" s="544"/>
      <c r="W141" s="544"/>
      <c r="X141" s="461"/>
      <c r="Y141" s="547"/>
      <c r="Z141" s="548"/>
      <c r="AA141" s="549" t="s">
        <v>3830</v>
      </c>
      <c r="AB141" s="550"/>
      <c r="AC141" s="551"/>
      <c r="AD141" s="551"/>
      <c r="AE141" s="552"/>
      <c r="AF141" s="553"/>
      <c r="AG141" s="553"/>
    </row>
    <row r="142" spans="1:33" s="393" customFormat="1" ht="15.95" customHeight="1">
      <c r="A142" s="319">
        <f>'BANCO DADOS-CUSTO TOTAL'!A141</f>
        <v>1</v>
      </c>
      <c r="B142" s="319">
        <f>'BANCO DADOS-CUSTO TOTAL'!B141</f>
        <v>1</v>
      </c>
      <c r="C142" s="319" t="str">
        <f>'BANCO DADOS-CUSTO TOTAL'!C141</f>
        <v>Uberlândia</v>
      </c>
      <c r="D142" s="320">
        <f>'BANCO DADOS-CUSTO TOTAL'!F141</f>
        <v>96</v>
      </c>
      <c r="E142" s="100">
        <f>'BANCO DADOS-CUSTO TOTAL'!G141</f>
        <v>12436</v>
      </c>
      <c r="F142" s="100" t="str">
        <f>'BANCO DADOS-CUSTO TOTAL'!H141</f>
        <v>BELTRANO 12436</v>
      </c>
      <c r="G142" s="100" t="str">
        <f>'BANCO DADOS-CUSTO TOTAL'!I141</f>
        <v>VIGILANTE ARMADO - 12X36 DIURNO</v>
      </c>
      <c r="H142" s="100" t="str">
        <f>'BANCO DADOS-CUSTO TOTAL'!K141</f>
        <v>UberlândiaVIGILANTE ARMADO - 12X36 DIURNO</v>
      </c>
      <c r="I142" s="101" t="str">
        <f>'BANCO DADOS-CUSTO TOTAL'!J141</f>
        <v>Efetivo</v>
      </c>
      <c r="J142" s="399">
        <f>'BANCO DADOS-CUSTO TOTAL'!Q141</f>
        <v>1602.86</v>
      </c>
      <c r="K142" s="539">
        <f>'BANCO DADOS-CUSTO TOTAL'!Z141</f>
        <v>0</v>
      </c>
      <c r="L142" s="100">
        <f>'BANCO DADOS-CUSTO TOTAL'!AA141</f>
        <v>30</v>
      </c>
      <c r="M142" s="383">
        <f t="shared" si="33"/>
        <v>1602.86</v>
      </c>
      <c r="N142" s="101"/>
      <c r="O142" s="422">
        <f t="shared" ref="O142:O147" si="40">IF(G142="VIGILANTE ARMADO - 220 H",20,15.5)</f>
        <v>15.5</v>
      </c>
      <c r="P142" s="356">
        <f>VLOOKUP(H142,PARAMETROS!E:AX,12,0)</f>
        <v>15.99</v>
      </c>
      <c r="Q142" s="426">
        <f t="shared" si="34"/>
        <v>247.845</v>
      </c>
      <c r="R142" s="426">
        <f t="shared" ref="R142:R147" si="41">Q142*10%</f>
        <v>24.784500000000001</v>
      </c>
      <c r="S142" s="426">
        <f t="shared" si="35"/>
        <v>223.06049999999999</v>
      </c>
      <c r="T142" s="356"/>
      <c r="U142" s="422">
        <f t="shared" si="28"/>
        <v>15.5</v>
      </c>
      <c r="V142" s="426">
        <f t="shared" si="36"/>
        <v>7.4</v>
      </c>
      <c r="W142" s="426">
        <f t="shared" si="37"/>
        <v>114.7</v>
      </c>
      <c r="X142" s="126">
        <f t="shared" si="38"/>
        <v>96.171599999999998</v>
      </c>
      <c r="Y142" s="427">
        <f t="shared" si="39"/>
        <v>18.528400000000005</v>
      </c>
      <c r="Z142" s="392"/>
      <c r="AA142" s="428"/>
      <c r="AB142" s="395"/>
      <c r="AC142" s="430"/>
      <c r="AD142" s="430"/>
      <c r="AE142" s="432"/>
      <c r="AF142" s="433"/>
      <c r="AG142" s="433"/>
    </row>
    <row r="143" spans="1:33" s="393" customFormat="1" ht="15.95" customHeight="1">
      <c r="A143" s="319">
        <f>'BANCO DADOS-CUSTO TOTAL'!A142</f>
        <v>1</v>
      </c>
      <c r="B143" s="319">
        <f>'BANCO DADOS-CUSTO TOTAL'!B142</f>
        <v>1</v>
      </c>
      <c r="C143" s="319" t="str">
        <f>'BANCO DADOS-CUSTO TOTAL'!C142</f>
        <v>Uberlândia</v>
      </c>
      <c r="D143" s="320">
        <f>'BANCO DADOS-CUSTO TOTAL'!F142</f>
        <v>97</v>
      </c>
      <c r="E143" s="100">
        <f>'BANCO DADOS-CUSTO TOTAL'!G142</f>
        <v>12437</v>
      </c>
      <c r="F143" s="100" t="str">
        <f>'BANCO DADOS-CUSTO TOTAL'!H142</f>
        <v>BELTRANO 12437</v>
      </c>
      <c r="G143" s="100" t="str">
        <f>'BANCO DADOS-CUSTO TOTAL'!I142</f>
        <v>VIGILANTE ARMADO - 12X36 DIURNO</v>
      </c>
      <c r="H143" s="100" t="str">
        <f>'BANCO DADOS-CUSTO TOTAL'!K142</f>
        <v>UberlândiaVIGILANTE ARMADO - 12X36 DIURNO</v>
      </c>
      <c r="I143" s="101" t="str">
        <f>'BANCO DADOS-CUSTO TOTAL'!J142</f>
        <v>Efetivo</v>
      </c>
      <c r="J143" s="399">
        <f>'BANCO DADOS-CUSTO TOTAL'!Q142</f>
        <v>1602.86</v>
      </c>
      <c r="K143" s="539">
        <f>'BANCO DADOS-CUSTO TOTAL'!Z142</f>
        <v>0</v>
      </c>
      <c r="L143" s="100">
        <f>'BANCO DADOS-CUSTO TOTAL'!AA142</f>
        <v>30</v>
      </c>
      <c r="M143" s="383">
        <f t="shared" si="33"/>
        <v>1602.86</v>
      </c>
      <c r="N143" s="101"/>
      <c r="O143" s="422">
        <f t="shared" si="40"/>
        <v>15.5</v>
      </c>
      <c r="P143" s="356">
        <f>VLOOKUP(H143,PARAMETROS!E:AX,12,0)</f>
        <v>15.99</v>
      </c>
      <c r="Q143" s="426">
        <f t="shared" si="34"/>
        <v>247.845</v>
      </c>
      <c r="R143" s="426">
        <f t="shared" si="41"/>
        <v>24.784500000000001</v>
      </c>
      <c r="S143" s="426">
        <f t="shared" si="35"/>
        <v>223.06049999999999</v>
      </c>
      <c r="T143" s="356"/>
      <c r="U143" s="422">
        <f t="shared" si="28"/>
        <v>15.5</v>
      </c>
      <c r="V143" s="426">
        <f t="shared" si="36"/>
        <v>7.4</v>
      </c>
      <c r="W143" s="426">
        <f t="shared" si="37"/>
        <v>114.7</v>
      </c>
      <c r="X143" s="126">
        <f t="shared" si="38"/>
        <v>96.171599999999998</v>
      </c>
      <c r="Y143" s="427">
        <f t="shared" si="39"/>
        <v>18.528400000000005</v>
      </c>
      <c r="Z143" s="392"/>
      <c r="AA143" s="428"/>
      <c r="AB143" s="395"/>
      <c r="AC143" s="430"/>
      <c r="AD143" s="430"/>
      <c r="AE143" s="432"/>
      <c r="AF143" s="433"/>
      <c r="AG143" s="433"/>
    </row>
    <row r="144" spans="1:33" s="393" customFormat="1" ht="15.95" customHeight="1">
      <c r="A144" s="319">
        <f>'BANCO DADOS-CUSTO TOTAL'!A143</f>
        <v>1</v>
      </c>
      <c r="B144" s="319">
        <f>'BANCO DADOS-CUSTO TOTAL'!B143</f>
        <v>1</v>
      </c>
      <c r="C144" s="319" t="str">
        <f>'BANCO DADOS-CUSTO TOTAL'!C143</f>
        <v>Uberlândia</v>
      </c>
      <c r="D144" s="320">
        <f>'BANCO DADOS-CUSTO TOTAL'!F143</f>
        <v>98</v>
      </c>
      <c r="E144" s="100">
        <f>'BANCO DADOS-CUSTO TOTAL'!G143</f>
        <v>12438</v>
      </c>
      <c r="F144" s="100" t="str">
        <f>'BANCO DADOS-CUSTO TOTAL'!H143</f>
        <v>BELTRANO 12438</v>
      </c>
      <c r="G144" s="100" t="str">
        <f>'BANCO DADOS-CUSTO TOTAL'!I143</f>
        <v>VIGILANTE ARMADO - 12X36 NOTURNO</v>
      </c>
      <c r="H144" s="100" t="str">
        <f>'BANCO DADOS-CUSTO TOTAL'!K143</f>
        <v>UberlândiaVIGILANTE ARMADO - 12X36 NOTURNO</v>
      </c>
      <c r="I144" s="101" t="str">
        <f>'BANCO DADOS-CUSTO TOTAL'!J143</f>
        <v>Efetivo</v>
      </c>
      <c r="J144" s="399">
        <f>'BANCO DADOS-CUSTO TOTAL'!Q143</f>
        <v>1602.86</v>
      </c>
      <c r="K144" s="539">
        <f>'BANCO DADOS-CUSTO TOTAL'!Z143</f>
        <v>0</v>
      </c>
      <c r="L144" s="100">
        <f>'BANCO DADOS-CUSTO TOTAL'!AA143</f>
        <v>30</v>
      </c>
      <c r="M144" s="383">
        <f t="shared" si="33"/>
        <v>1602.86</v>
      </c>
      <c r="N144" s="101"/>
      <c r="O144" s="422">
        <f t="shared" si="40"/>
        <v>15.5</v>
      </c>
      <c r="P144" s="356">
        <f>VLOOKUP(H144,PARAMETROS!E:AX,12,0)</f>
        <v>15.99</v>
      </c>
      <c r="Q144" s="426">
        <f t="shared" si="34"/>
        <v>247.845</v>
      </c>
      <c r="R144" s="426">
        <f t="shared" si="41"/>
        <v>24.784500000000001</v>
      </c>
      <c r="S144" s="426">
        <f t="shared" si="35"/>
        <v>223.06049999999999</v>
      </c>
      <c r="T144" s="356"/>
      <c r="U144" s="422">
        <f t="shared" si="28"/>
        <v>15.5</v>
      </c>
      <c r="V144" s="426">
        <f t="shared" si="36"/>
        <v>7.4</v>
      </c>
      <c r="W144" s="426">
        <f t="shared" si="37"/>
        <v>114.7</v>
      </c>
      <c r="X144" s="126">
        <f t="shared" si="38"/>
        <v>96.171599999999998</v>
      </c>
      <c r="Y144" s="427">
        <f t="shared" si="39"/>
        <v>18.528400000000005</v>
      </c>
      <c r="Z144" s="392"/>
      <c r="AA144" s="428"/>
      <c r="AB144" s="395"/>
      <c r="AC144" s="430"/>
      <c r="AD144" s="430"/>
      <c r="AE144" s="432"/>
      <c r="AF144" s="433"/>
      <c r="AG144" s="433"/>
    </row>
    <row r="145" spans="1:33" s="393" customFormat="1" ht="15.95" customHeight="1">
      <c r="A145" s="319">
        <f>'BANCO DADOS-CUSTO TOTAL'!A144</f>
        <v>1</v>
      </c>
      <c r="B145" s="319">
        <f>'BANCO DADOS-CUSTO TOTAL'!B144</f>
        <v>1</v>
      </c>
      <c r="C145" s="319" t="str">
        <f>'BANCO DADOS-CUSTO TOTAL'!C144</f>
        <v>Uberlândia</v>
      </c>
      <c r="D145" s="320">
        <f>'BANCO DADOS-CUSTO TOTAL'!F144</f>
        <v>99</v>
      </c>
      <c r="E145" s="100">
        <f>'BANCO DADOS-CUSTO TOTAL'!G144</f>
        <v>12439</v>
      </c>
      <c r="F145" s="100" t="str">
        <f>'BANCO DADOS-CUSTO TOTAL'!H144</f>
        <v>BELTRANO 12439</v>
      </c>
      <c r="G145" s="100" t="str">
        <f>'BANCO DADOS-CUSTO TOTAL'!I144</f>
        <v>VIGILANTE ARMADO - 12X36 NOTURNO</v>
      </c>
      <c r="H145" s="100" t="str">
        <f>'BANCO DADOS-CUSTO TOTAL'!K144</f>
        <v>UberlândiaVIGILANTE ARMADO - 12X36 NOTURNO</v>
      </c>
      <c r="I145" s="101" t="str">
        <f>'BANCO DADOS-CUSTO TOTAL'!J144</f>
        <v>Efetivo</v>
      </c>
      <c r="J145" s="399">
        <f>'BANCO DADOS-CUSTO TOTAL'!Q144</f>
        <v>1602.86</v>
      </c>
      <c r="K145" s="539">
        <f>'BANCO DADOS-CUSTO TOTAL'!Z144</f>
        <v>0</v>
      </c>
      <c r="L145" s="100">
        <f>'BANCO DADOS-CUSTO TOTAL'!AA144</f>
        <v>30</v>
      </c>
      <c r="M145" s="383">
        <f t="shared" si="33"/>
        <v>1602.86</v>
      </c>
      <c r="N145" s="101"/>
      <c r="O145" s="422">
        <f t="shared" si="40"/>
        <v>15.5</v>
      </c>
      <c r="P145" s="356">
        <f>VLOOKUP(H145,PARAMETROS!E:AX,12,0)</f>
        <v>15.99</v>
      </c>
      <c r="Q145" s="426">
        <f t="shared" si="34"/>
        <v>247.845</v>
      </c>
      <c r="R145" s="426">
        <f t="shared" si="41"/>
        <v>24.784500000000001</v>
      </c>
      <c r="S145" s="426">
        <f t="shared" si="35"/>
        <v>223.06049999999999</v>
      </c>
      <c r="T145" s="356"/>
      <c r="U145" s="422">
        <f t="shared" si="28"/>
        <v>15.5</v>
      </c>
      <c r="V145" s="426">
        <f t="shared" si="36"/>
        <v>7.4</v>
      </c>
      <c r="W145" s="426">
        <f t="shared" si="37"/>
        <v>114.7</v>
      </c>
      <c r="X145" s="126">
        <f t="shared" si="38"/>
        <v>96.171599999999998</v>
      </c>
      <c r="Y145" s="427">
        <f t="shared" si="39"/>
        <v>18.528400000000005</v>
      </c>
      <c r="Z145" s="392"/>
      <c r="AA145" s="428"/>
      <c r="AB145" s="395"/>
      <c r="AC145" s="430"/>
      <c r="AD145" s="430"/>
      <c r="AE145" s="432"/>
      <c r="AF145" s="433"/>
      <c r="AG145" s="433"/>
    </row>
    <row r="146" spans="1:33" s="393" customFormat="1" ht="15.95" customHeight="1">
      <c r="A146" s="319">
        <f>'BANCO DADOS-CUSTO TOTAL'!A145</f>
        <v>1</v>
      </c>
      <c r="B146" s="319">
        <f>'BANCO DADOS-CUSTO TOTAL'!B145</f>
        <v>1</v>
      </c>
      <c r="C146" s="319" t="str">
        <f>'BANCO DADOS-CUSTO TOTAL'!C145</f>
        <v>Uberlândia</v>
      </c>
      <c r="D146" s="320">
        <f>'BANCO DADOS-CUSTO TOTAL'!F145</f>
        <v>100</v>
      </c>
      <c r="E146" s="100">
        <f>'BANCO DADOS-CUSTO TOTAL'!G145</f>
        <v>12440</v>
      </c>
      <c r="F146" s="100" t="str">
        <f>'BANCO DADOS-CUSTO TOTAL'!H145</f>
        <v>BELTRANO 12440</v>
      </c>
      <c r="G146" s="100" t="str">
        <f>'BANCO DADOS-CUSTO TOTAL'!I145</f>
        <v>VIGILANTE ARMADO - 12X36 NOTURNO</v>
      </c>
      <c r="H146" s="100" t="str">
        <f>'BANCO DADOS-CUSTO TOTAL'!K145</f>
        <v>UberlândiaVIGILANTE ARMADO - 12X36 NOTURNO</v>
      </c>
      <c r="I146" s="101" t="str">
        <f>'BANCO DADOS-CUSTO TOTAL'!J145</f>
        <v>Efetivo</v>
      </c>
      <c r="J146" s="399">
        <f>'BANCO DADOS-CUSTO TOTAL'!Q145</f>
        <v>1602.86</v>
      </c>
      <c r="K146" s="539">
        <f>'BANCO DADOS-CUSTO TOTAL'!Z145</f>
        <v>0</v>
      </c>
      <c r="L146" s="100">
        <f>'BANCO DADOS-CUSTO TOTAL'!AA145</f>
        <v>30</v>
      </c>
      <c r="M146" s="383">
        <f t="shared" si="33"/>
        <v>1602.86</v>
      </c>
      <c r="N146" s="101"/>
      <c r="O146" s="422">
        <f t="shared" si="40"/>
        <v>15.5</v>
      </c>
      <c r="P146" s="356">
        <f>VLOOKUP(H146,PARAMETROS!E:AX,12,0)</f>
        <v>15.99</v>
      </c>
      <c r="Q146" s="426">
        <f t="shared" si="34"/>
        <v>247.845</v>
      </c>
      <c r="R146" s="426">
        <f t="shared" si="41"/>
        <v>24.784500000000001</v>
      </c>
      <c r="S146" s="426">
        <f t="shared" si="35"/>
        <v>223.06049999999999</v>
      </c>
      <c r="T146" s="356"/>
      <c r="U146" s="422">
        <f t="shared" si="28"/>
        <v>15.5</v>
      </c>
      <c r="V146" s="426">
        <f t="shared" si="36"/>
        <v>7.4</v>
      </c>
      <c r="W146" s="426">
        <f t="shared" si="37"/>
        <v>114.7</v>
      </c>
      <c r="X146" s="126">
        <f t="shared" si="38"/>
        <v>96.171599999999998</v>
      </c>
      <c r="Y146" s="427">
        <f t="shared" si="39"/>
        <v>18.528400000000005</v>
      </c>
      <c r="Z146" s="392"/>
      <c r="AA146" s="428"/>
      <c r="AB146" s="395"/>
      <c r="AC146" s="430"/>
      <c r="AD146" s="430"/>
      <c r="AE146" s="432"/>
      <c r="AF146" s="433"/>
      <c r="AG146" s="433"/>
    </row>
    <row r="147" spans="1:33" s="393" customFormat="1" ht="15.95" customHeight="1">
      <c r="A147" s="319">
        <f>'BANCO DADOS-CUSTO TOTAL'!A146</f>
        <v>1</v>
      </c>
      <c r="B147" s="319">
        <f>'BANCO DADOS-CUSTO TOTAL'!B146</f>
        <v>1</v>
      </c>
      <c r="C147" s="319" t="str">
        <f>'BANCO DADOS-CUSTO TOTAL'!C146</f>
        <v>Uberlândia</v>
      </c>
      <c r="D147" s="320">
        <f>'BANCO DADOS-CUSTO TOTAL'!F146</f>
        <v>101</v>
      </c>
      <c r="E147" s="100">
        <f>'BANCO DADOS-CUSTO TOTAL'!G146</f>
        <v>12441</v>
      </c>
      <c r="F147" s="100" t="str">
        <f>'BANCO DADOS-CUSTO TOTAL'!H146</f>
        <v>BELTRANO 12441</v>
      </c>
      <c r="G147" s="100" t="str">
        <f>'BANCO DADOS-CUSTO TOTAL'!I146</f>
        <v>VIGILANTE ARMADO - 12X36 NOTURNO</v>
      </c>
      <c r="H147" s="100" t="str">
        <f>'BANCO DADOS-CUSTO TOTAL'!K146</f>
        <v>UberlândiaVIGILANTE ARMADO - 12X36 NOTURNO</v>
      </c>
      <c r="I147" s="101" t="str">
        <f>'BANCO DADOS-CUSTO TOTAL'!J146</f>
        <v>Efetivo</v>
      </c>
      <c r="J147" s="399">
        <f>'BANCO DADOS-CUSTO TOTAL'!Q146</f>
        <v>1602.86</v>
      </c>
      <c r="K147" s="539">
        <f>'BANCO DADOS-CUSTO TOTAL'!Z146</f>
        <v>0</v>
      </c>
      <c r="L147" s="100">
        <f>'BANCO DADOS-CUSTO TOTAL'!AA146</f>
        <v>30</v>
      </c>
      <c r="M147" s="383">
        <f t="shared" si="33"/>
        <v>1602.86</v>
      </c>
      <c r="N147" s="101"/>
      <c r="O147" s="422">
        <f t="shared" si="40"/>
        <v>15.5</v>
      </c>
      <c r="P147" s="356">
        <f>VLOOKUP(H147,PARAMETROS!E:AX,12,0)</f>
        <v>15.99</v>
      </c>
      <c r="Q147" s="426">
        <f t="shared" si="34"/>
        <v>247.845</v>
      </c>
      <c r="R147" s="426">
        <f t="shared" si="41"/>
        <v>24.784500000000001</v>
      </c>
      <c r="S147" s="426">
        <f t="shared" si="35"/>
        <v>223.06049999999999</v>
      </c>
      <c r="T147" s="356"/>
      <c r="U147" s="422">
        <f t="shared" si="28"/>
        <v>15.5</v>
      </c>
      <c r="V147" s="426">
        <f t="shared" si="36"/>
        <v>7.4</v>
      </c>
      <c r="W147" s="426">
        <f t="shared" si="37"/>
        <v>114.7</v>
      </c>
      <c r="X147" s="126">
        <f t="shared" si="38"/>
        <v>96.171599999999998</v>
      </c>
      <c r="Y147" s="427">
        <f t="shared" si="39"/>
        <v>18.528400000000005</v>
      </c>
      <c r="Z147" s="392"/>
      <c r="AA147" s="428"/>
      <c r="AB147" s="395"/>
      <c r="AC147" s="430"/>
      <c r="AD147" s="430"/>
      <c r="AE147" s="432"/>
      <c r="AF147" s="433"/>
      <c r="AG147" s="433"/>
    </row>
    <row r="148" spans="1:33" s="554" customFormat="1" ht="15.95" customHeight="1">
      <c r="A148" s="540"/>
      <c r="B148" s="540"/>
      <c r="C148" s="540" t="str">
        <f>'BANCO DADOS-CUSTO TOTAL'!C147</f>
        <v>TOTAL UBERLÂNDIA</v>
      </c>
      <c r="D148" s="541"/>
      <c r="E148" s="542"/>
      <c r="F148" s="542"/>
      <c r="G148" s="542"/>
      <c r="H148" s="542"/>
      <c r="I148" s="543"/>
      <c r="J148" s="544"/>
      <c r="K148" s="545"/>
      <c r="L148" s="542"/>
      <c r="M148" s="460"/>
      <c r="N148" s="543"/>
      <c r="O148" s="546"/>
      <c r="P148" s="459"/>
      <c r="Q148" s="544"/>
      <c r="R148" s="544"/>
      <c r="S148" s="544"/>
      <c r="T148" s="459"/>
      <c r="U148" s="546"/>
      <c r="V148" s="544"/>
      <c r="W148" s="544"/>
      <c r="X148" s="461"/>
      <c r="Y148" s="547"/>
      <c r="Z148" s="548"/>
      <c r="AA148" s="549" t="s">
        <v>3830</v>
      </c>
      <c r="AB148" s="550"/>
      <c r="AC148" s="551"/>
      <c r="AD148" s="551"/>
      <c r="AE148" s="552"/>
      <c r="AF148" s="553"/>
      <c r="AG148" s="553"/>
    </row>
    <row r="149" spans="1:33" s="393" customFormat="1" ht="15.95" customHeight="1">
      <c r="A149" s="319">
        <f>'BANCO DADOS-CUSTO TOTAL'!A148</f>
        <v>1</v>
      </c>
      <c r="B149" s="319">
        <f>'BANCO DADOS-CUSTO TOTAL'!B148</f>
        <v>1</v>
      </c>
      <c r="C149" s="319" t="str">
        <f>'BANCO DADOS-CUSTO TOTAL'!C148</f>
        <v>Varginha</v>
      </c>
      <c r="D149" s="320">
        <f>'BANCO DADOS-CUSTO TOTAL'!F148</f>
        <v>102</v>
      </c>
      <c r="E149" s="100">
        <f>'BANCO DADOS-CUSTO TOTAL'!G148</f>
        <v>12442</v>
      </c>
      <c r="F149" s="100" t="str">
        <f>'BANCO DADOS-CUSTO TOTAL'!H148</f>
        <v>BELTRANO 12442</v>
      </c>
      <c r="G149" s="100" t="str">
        <f>'BANCO DADOS-CUSTO TOTAL'!I148</f>
        <v>VIGILANTE ARMADO - 220 H</v>
      </c>
      <c r="H149" s="100" t="str">
        <f>'BANCO DADOS-CUSTO TOTAL'!K148</f>
        <v>VarginhaVIGILANTE ARMADO - 220 H</v>
      </c>
      <c r="I149" s="101" t="str">
        <f>'BANCO DADOS-CUSTO TOTAL'!J148</f>
        <v>Efetivo</v>
      </c>
      <c r="J149" s="399">
        <f>'BANCO DADOS-CUSTO TOTAL'!Q148</f>
        <v>1602.86</v>
      </c>
      <c r="K149" s="539">
        <f>'BANCO DADOS-CUSTO TOTAL'!Z148</f>
        <v>0</v>
      </c>
      <c r="L149" s="100">
        <f>'BANCO DADOS-CUSTO TOTAL'!AA148</f>
        <v>30</v>
      </c>
      <c r="M149" s="383">
        <f t="shared" si="33"/>
        <v>1602.86</v>
      </c>
      <c r="N149" s="101"/>
      <c r="O149" s="422">
        <f>IF(G149="VIGILANTE ARMADO - 220 H",20,15.5)</f>
        <v>20</v>
      </c>
      <c r="P149" s="356">
        <f>VLOOKUP(H149,PARAMETROS!E:AX,12,0)</f>
        <v>15.99</v>
      </c>
      <c r="Q149" s="426">
        <f t="shared" si="34"/>
        <v>319.8</v>
      </c>
      <c r="R149" s="426">
        <f>Q149*10%</f>
        <v>31.980000000000004</v>
      </c>
      <c r="S149" s="426">
        <f t="shared" si="35"/>
        <v>287.82</v>
      </c>
      <c r="T149" s="356"/>
      <c r="U149" s="422">
        <f t="shared" si="28"/>
        <v>20</v>
      </c>
      <c r="V149" s="426">
        <f t="shared" si="36"/>
        <v>7.4</v>
      </c>
      <c r="W149" s="426">
        <f t="shared" si="37"/>
        <v>148</v>
      </c>
      <c r="X149" s="126">
        <f t="shared" si="38"/>
        <v>96.171599999999998</v>
      </c>
      <c r="Y149" s="427">
        <f t="shared" si="39"/>
        <v>51.828400000000002</v>
      </c>
      <c r="Z149" s="392"/>
      <c r="AA149" s="428"/>
      <c r="AB149" s="395"/>
      <c r="AC149" s="430"/>
      <c r="AD149" s="430"/>
      <c r="AE149" s="432"/>
      <c r="AF149" s="433"/>
      <c r="AG149" s="433"/>
    </row>
    <row r="150" spans="1:33" s="554" customFormat="1" ht="15.95" customHeight="1">
      <c r="A150" s="540"/>
      <c r="B150" s="540"/>
      <c r="C150" s="540" t="str">
        <f>'BANCO DADOS-CUSTO TOTAL'!C149</f>
        <v>TOTAL VARGINHA</v>
      </c>
      <c r="D150" s="541"/>
      <c r="E150" s="542"/>
      <c r="F150" s="542"/>
      <c r="G150" s="542"/>
      <c r="H150" s="542"/>
      <c r="I150" s="543"/>
      <c r="J150" s="544"/>
      <c r="K150" s="545"/>
      <c r="L150" s="542"/>
      <c r="M150" s="460"/>
      <c r="N150" s="543"/>
      <c r="O150" s="546"/>
      <c r="P150" s="459"/>
      <c r="Q150" s="544"/>
      <c r="R150" s="544"/>
      <c r="S150" s="544"/>
      <c r="T150" s="459"/>
      <c r="U150" s="546"/>
      <c r="V150" s="544"/>
      <c r="W150" s="544"/>
      <c r="X150" s="461"/>
      <c r="Y150" s="547"/>
      <c r="Z150" s="548"/>
      <c r="AA150" s="549" t="s">
        <v>3830</v>
      </c>
      <c r="AB150" s="550"/>
      <c r="AC150" s="551"/>
      <c r="AD150" s="551"/>
      <c r="AE150" s="552"/>
      <c r="AF150" s="553"/>
      <c r="AG150" s="553"/>
    </row>
    <row r="151" spans="1:33" s="393" customFormat="1" ht="15.95" customHeight="1">
      <c r="A151" s="319">
        <f>'BANCO DADOS-CUSTO TOTAL'!A150</f>
        <v>1</v>
      </c>
      <c r="B151" s="319">
        <f>'BANCO DADOS-CUSTO TOTAL'!B150</f>
        <v>1</v>
      </c>
      <c r="C151" s="319" t="str">
        <f>'BANCO DADOS-CUSTO TOTAL'!C150</f>
        <v>Vespasiano</v>
      </c>
      <c r="D151" s="320">
        <f>'BANCO DADOS-CUSTO TOTAL'!F150</f>
        <v>103</v>
      </c>
      <c r="E151" s="100">
        <f>'BANCO DADOS-CUSTO TOTAL'!G150</f>
        <v>12443</v>
      </c>
      <c r="F151" s="100" t="str">
        <f>'BANCO DADOS-CUSTO TOTAL'!H150</f>
        <v>BELTRANO 12443</v>
      </c>
      <c r="G151" s="100" t="str">
        <f>'BANCO DADOS-CUSTO TOTAL'!I150</f>
        <v>VIGILANTE ARMADO - 12X36 DIURNO</v>
      </c>
      <c r="H151" s="100" t="str">
        <f>'BANCO DADOS-CUSTO TOTAL'!K150</f>
        <v>VespasianoVIGILANTE ARMADO - 12X36 DIURNO</v>
      </c>
      <c r="I151" s="101" t="str">
        <f>'BANCO DADOS-CUSTO TOTAL'!J150</f>
        <v>Efetivo</v>
      </c>
      <c r="J151" s="399">
        <f>'BANCO DADOS-CUSTO TOTAL'!Q150</f>
        <v>1602.86</v>
      </c>
      <c r="K151" s="539">
        <f>'BANCO DADOS-CUSTO TOTAL'!Z150</f>
        <v>0</v>
      </c>
      <c r="L151" s="100">
        <f>'BANCO DADOS-CUSTO TOTAL'!AA150</f>
        <v>30</v>
      </c>
      <c r="M151" s="383">
        <f t="shared" si="33"/>
        <v>1602.86</v>
      </c>
      <c r="N151" s="101"/>
      <c r="O151" s="422">
        <f>IF(G151="VIGILANTE ARMADO - 220 H",20,15.5)</f>
        <v>15.5</v>
      </c>
      <c r="P151" s="356">
        <f>VLOOKUP(H151,PARAMETROS!E:AX,12,0)</f>
        <v>15.99</v>
      </c>
      <c r="Q151" s="426">
        <f t="shared" si="34"/>
        <v>247.845</v>
      </c>
      <c r="R151" s="426">
        <f>Q151*10%</f>
        <v>24.784500000000001</v>
      </c>
      <c r="S151" s="426">
        <f t="shared" si="35"/>
        <v>223.06049999999999</v>
      </c>
      <c r="T151" s="356"/>
      <c r="U151" s="422">
        <f t="shared" si="28"/>
        <v>15.5</v>
      </c>
      <c r="V151" s="426">
        <f t="shared" si="36"/>
        <v>7.4</v>
      </c>
      <c r="W151" s="426">
        <f t="shared" si="37"/>
        <v>114.7</v>
      </c>
      <c r="X151" s="126">
        <f t="shared" si="38"/>
        <v>96.171599999999998</v>
      </c>
      <c r="Y151" s="427">
        <f t="shared" si="39"/>
        <v>18.528400000000005</v>
      </c>
      <c r="Z151" s="392"/>
      <c r="AA151" s="428"/>
      <c r="AB151" s="395"/>
      <c r="AC151" s="430"/>
      <c r="AD151" s="430"/>
      <c r="AE151" s="432"/>
      <c r="AF151" s="433"/>
      <c r="AG151" s="433"/>
    </row>
    <row r="152" spans="1:33" s="393" customFormat="1" ht="15.95" customHeight="1">
      <c r="A152" s="319">
        <f>'BANCO DADOS-CUSTO TOTAL'!A151</f>
        <v>1</v>
      </c>
      <c r="B152" s="319">
        <f>'BANCO DADOS-CUSTO TOTAL'!B151</f>
        <v>1</v>
      </c>
      <c r="C152" s="319" t="str">
        <f>'BANCO DADOS-CUSTO TOTAL'!C151</f>
        <v>Vespasiano</v>
      </c>
      <c r="D152" s="320">
        <f>'BANCO DADOS-CUSTO TOTAL'!F151</f>
        <v>104</v>
      </c>
      <c r="E152" s="100">
        <f>'BANCO DADOS-CUSTO TOTAL'!G151</f>
        <v>12444</v>
      </c>
      <c r="F152" s="100" t="str">
        <f>'BANCO DADOS-CUSTO TOTAL'!H151</f>
        <v>BELTRANO 12444</v>
      </c>
      <c r="G152" s="100" t="str">
        <f>'BANCO DADOS-CUSTO TOTAL'!I151</f>
        <v>VIGILANTE ARMADO - 12X36 DIURNO</v>
      </c>
      <c r="H152" s="100" t="str">
        <f>'BANCO DADOS-CUSTO TOTAL'!K151</f>
        <v>VespasianoVIGILANTE ARMADO - 12X36 DIURNO</v>
      </c>
      <c r="I152" s="101" t="str">
        <f>'BANCO DADOS-CUSTO TOTAL'!J151</f>
        <v>Efetivo</v>
      </c>
      <c r="J152" s="399">
        <f>'BANCO DADOS-CUSTO TOTAL'!Q151</f>
        <v>1602.86</v>
      </c>
      <c r="K152" s="539">
        <f>'BANCO DADOS-CUSTO TOTAL'!Z151</f>
        <v>0</v>
      </c>
      <c r="L152" s="100">
        <f>'BANCO DADOS-CUSTO TOTAL'!AA151</f>
        <v>30</v>
      </c>
      <c r="M152" s="383">
        <f t="shared" si="33"/>
        <v>1602.86</v>
      </c>
      <c r="N152" s="101"/>
      <c r="O152" s="422">
        <f>IF(G152="VIGILANTE ARMADO - 220 H",20,15.5)</f>
        <v>15.5</v>
      </c>
      <c r="P152" s="356">
        <f>VLOOKUP(H152,PARAMETROS!E:AX,12,0)</f>
        <v>15.99</v>
      </c>
      <c r="Q152" s="426">
        <f t="shared" si="34"/>
        <v>247.845</v>
      </c>
      <c r="R152" s="426">
        <f>Q152*10%</f>
        <v>24.784500000000001</v>
      </c>
      <c r="S152" s="426">
        <f t="shared" si="35"/>
        <v>223.06049999999999</v>
      </c>
      <c r="T152" s="356"/>
      <c r="U152" s="422">
        <f t="shared" si="28"/>
        <v>15.5</v>
      </c>
      <c r="V152" s="426">
        <f t="shared" si="36"/>
        <v>7.4</v>
      </c>
      <c r="W152" s="426">
        <f t="shared" si="37"/>
        <v>114.7</v>
      </c>
      <c r="X152" s="126">
        <f t="shared" si="38"/>
        <v>96.171599999999998</v>
      </c>
      <c r="Y152" s="427">
        <f t="shared" si="39"/>
        <v>18.528400000000005</v>
      </c>
      <c r="Z152" s="392"/>
      <c r="AA152" s="428"/>
      <c r="AB152" s="395"/>
      <c r="AC152" s="430"/>
      <c r="AD152" s="430"/>
      <c r="AE152" s="432"/>
      <c r="AF152" s="433"/>
      <c r="AG152" s="433"/>
    </row>
    <row r="153" spans="1:33" s="554" customFormat="1" ht="15.95" customHeight="1">
      <c r="A153" s="540"/>
      <c r="B153" s="540"/>
      <c r="C153" s="540" t="str">
        <f>'BANCO DADOS-CUSTO TOTAL'!C152</f>
        <v>TOTAL VESPASIANO</v>
      </c>
      <c r="D153" s="541"/>
      <c r="E153" s="542"/>
      <c r="F153" s="542"/>
      <c r="G153" s="542"/>
      <c r="H153" s="542"/>
      <c r="I153" s="543"/>
      <c r="J153" s="544"/>
      <c r="K153" s="545"/>
      <c r="L153" s="542"/>
      <c r="M153" s="460"/>
      <c r="N153" s="543"/>
      <c r="O153" s="546"/>
      <c r="P153" s="459"/>
      <c r="Q153" s="544"/>
      <c r="R153" s="544"/>
      <c r="S153" s="544"/>
      <c r="T153" s="459"/>
      <c r="U153" s="546"/>
      <c r="V153" s="544"/>
      <c r="W153" s="544"/>
      <c r="X153" s="461"/>
      <c r="Y153" s="547"/>
      <c r="Z153" s="548"/>
      <c r="AA153" s="549" t="s">
        <v>3830</v>
      </c>
      <c r="AB153" s="550"/>
      <c r="AC153" s="551"/>
      <c r="AD153" s="551"/>
      <c r="AE153" s="552"/>
      <c r="AF153" s="553"/>
      <c r="AG153" s="553"/>
    </row>
    <row r="154" spans="1:33" s="393" customFormat="1" ht="15.95" customHeight="1">
      <c r="A154" s="319">
        <f>'BANCO DADOS-CUSTO TOTAL'!A153</f>
        <v>1</v>
      </c>
      <c r="B154" s="319">
        <f>'BANCO DADOS-CUSTO TOTAL'!B153</f>
        <v>1</v>
      </c>
      <c r="C154" s="319" t="str">
        <f>'BANCO DADOS-CUSTO TOTAL'!C153</f>
        <v>Viçosa</v>
      </c>
      <c r="D154" s="320">
        <f>'BANCO DADOS-CUSTO TOTAL'!F153</f>
        <v>105</v>
      </c>
      <c r="E154" s="100">
        <f>'BANCO DADOS-CUSTO TOTAL'!G153</f>
        <v>12445</v>
      </c>
      <c r="F154" s="100" t="str">
        <f>'BANCO DADOS-CUSTO TOTAL'!H153</f>
        <v>BELTRANO 12445</v>
      </c>
      <c r="G154" s="100" t="str">
        <f>'BANCO DADOS-CUSTO TOTAL'!I153</f>
        <v>VIGILANTE ARMADO - 12X36 DIURNO</v>
      </c>
      <c r="H154" s="100" t="str">
        <f>'BANCO DADOS-CUSTO TOTAL'!K153</f>
        <v>ViçosaVIGILANTE ARMADO - 12X36 DIURNO</v>
      </c>
      <c r="I154" s="101" t="str">
        <f>'BANCO DADOS-CUSTO TOTAL'!J153</f>
        <v>Efetivo</v>
      </c>
      <c r="J154" s="399">
        <f>'BANCO DADOS-CUSTO TOTAL'!Q153</f>
        <v>1602.86</v>
      </c>
      <c r="K154" s="539">
        <f>'BANCO DADOS-CUSTO TOTAL'!Z153</f>
        <v>0</v>
      </c>
      <c r="L154" s="100">
        <f>'BANCO DADOS-CUSTO TOTAL'!AA153</f>
        <v>30</v>
      </c>
      <c r="M154" s="383">
        <f t="shared" si="33"/>
        <v>1602.86</v>
      </c>
      <c r="N154" s="101"/>
      <c r="O154" s="422">
        <f>IF(G154="VIGILANTE ARMADO - 220 H",20,15.5)</f>
        <v>15.5</v>
      </c>
      <c r="P154" s="356">
        <f>VLOOKUP(H154,PARAMETROS!E:AX,12,0)</f>
        <v>15.99</v>
      </c>
      <c r="Q154" s="426">
        <f t="shared" si="34"/>
        <v>247.845</v>
      </c>
      <c r="R154" s="426">
        <f>Q154*10%</f>
        <v>24.784500000000001</v>
      </c>
      <c r="S154" s="426">
        <f t="shared" si="35"/>
        <v>223.06049999999999</v>
      </c>
      <c r="T154" s="356"/>
      <c r="U154" s="422">
        <f t="shared" si="28"/>
        <v>15.5</v>
      </c>
      <c r="V154" s="426">
        <f t="shared" si="36"/>
        <v>7.4</v>
      </c>
      <c r="W154" s="426">
        <f t="shared" si="37"/>
        <v>114.7</v>
      </c>
      <c r="X154" s="126">
        <f t="shared" si="38"/>
        <v>96.171599999999998</v>
      </c>
      <c r="Y154" s="427">
        <f t="shared" si="39"/>
        <v>18.528400000000005</v>
      </c>
      <c r="Z154" s="392"/>
      <c r="AA154" s="428" t="s">
        <v>3830</v>
      </c>
      <c r="AB154" s="395"/>
      <c r="AC154" s="430"/>
      <c r="AD154" s="430"/>
      <c r="AE154" s="432"/>
      <c r="AF154" s="433"/>
      <c r="AG154" s="433"/>
    </row>
    <row r="155" spans="1:33" s="393" customFormat="1" ht="15.95" customHeight="1">
      <c r="A155" s="319">
        <f>'BANCO DADOS-CUSTO TOTAL'!A154</f>
        <v>1</v>
      </c>
      <c r="B155" s="319">
        <f>'BANCO DADOS-CUSTO TOTAL'!B154</f>
        <v>1</v>
      </c>
      <c r="C155" s="319" t="str">
        <f>'BANCO DADOS-CUSTO TOTAL'!C154</f>
        <v>Viçosa</v>
      </c>
      <c r="D155" s="320">
        <f>'BANCO DADOS-CUSTO TOTAL'!F154</f>
        <v>106</v>
      </c>
      <c r="E155" s="100">
        <f>'BANCO DADOS-CUSTO TOTAL'!G154</f>
        <v>1246</v>
      </c>
      <c r="F155" s="100" t="str">
        <f>'BANCO DADOS-CUSTO TOTAL'!H154</f>
        <v>BELTRANO 1246</v>
      </c>
      <c r="G155" s="100" t="str">
        <f>'BANCO DADOS-CUSTO TOTAL'!I154</f>
        <v>VIGILANTE ARMADO - 12X36 DIURNO</v>
      </c>
      <c r="H155" s="100" t="str">
        <f>'BANCO DADOS-CUSTO TOTAL'!K154</f>
        <v>ViçosaVIGILANTE ARMADO - 12X36 DIURNO</v>
      </c>
      <c r="I155" s="101" t="str">
        <f>'BANCO DADOS-CUSTO TOTAL'!J154</f>
        <v>Efetivo</v>
      </c>
      <c r="J155" s="399">
        <f>'BANCO DADOS-CUSTO TOTAL'!Q154</f>
        <v>1602.86</v>
      </c>
      <c r="K155" s="539">
        <f>'BANCO DADOS-CUSTO TOTAL'!Z154</f>
        <v>0</v>
      </c>
      <c r="L155" s="100">
        <f>'BANCO DADOS-CUSTO TOTAL'!AA154</f>
        <v>30</v>
      </c>
      <c r="M155" s="383">
        <f t="shared" si="33"/>
        <v>1602.86</v>
      </c>
      <c r="N155" s="101"/>
      <c r="O155" s="422">
        <f>IF(G155="VIGILANTE ARMADO - 220 H",20,15.5)</f>
        <v>15.5</v>
      </c>
      <c r="P155" s="356">
        <f>VLOOKUP(H155,PARAMETROS!E:AX,12,0)</f>
        <v>15.99</v>
      </c>
      <c r="Q155" s="426">
        <f t="shared" si="34"/>
        <v>247.845</v>
      </c>
      <c r="R155" s="426">
        <f>Q155*10%</f>
        <v>24.784500000000001</v>
      </c>
      <c r="S155" s="426">
        <f t="shared" si="35"/>
        <v>223.06049999999999</v>
      </c>
      <c r="T155" s="356"/>
      <c r="U155" s="422">
        <f t="shared" si="28"/>
        <v>15.5</v>
      </c>
      <c r="V155" s="426">
        <f t="shared" si="36"/>
        <v>7.4</v>
      </c>
      <c r="W155" s="426">
        <f t="shared" si="37"/>
        <v>114.7</v>
      </c>
      <c r="X155" s="126">
        <f t="shared" si="38"/>
        <v>96.171599999999998</v>
      </c>
      <c r="Y155" s="427">
        <f t="shared" si="39"/>
        <v>18.528400000000005</v>
      </c>
      <c r="Z155" s="392"/>
      <c r="AA155" s="428" t="s">
        <v>3830</v>
      </c>
      <c r="AB155" s="395"/>
      <c r="AC155" s="430"/>
      <c r="AD155" s="430"/>
      <c r="AE155" s="432"/>
      <c r="AF155" s="433"/>
      <c r="AG155" s="433"/>
    </row>
    <row r="156" spans="1:33" s="554" customFormat="1" ht="15.95" customHeight="1">
      <c r="A156" s="540"/>
      <c r="B156" s="540"/>
      <c r="C156" s="540" t="str">
        <f>'BANCO DADOS-CUSTO TOTAL'!C155</f>
        <v>TOTAL VIÇOSA</v>
      </c>
      <c r="D156" s="541"/>
      <c r="E156" s="542"/>
      <c r="F156" s="542"/>
      <c r="G156" s="542"/>
      <c r="H156" s="542"/>
      <c r="I156" s="543"/>
      <c r="J156" s="544"/>
      <c r="K156" s="545"/>
      <c r="L156" s="542"/>
      <c r="M156" s="460"/>
      <c r="N156" s="543"/>
      <c r="O156" s="546"/>
      <c r="P156" s="459"/>
      <c r="Q156" s="544"/>
      <c r="R156" s="544"/>
      <c r="S156" s="544"/>
      <c r="T156" s="459"/>
      <c r="U156" s="546"/>
      <c r="V156" s="544"/>
      <c r="W156" s="544"/>
      <c r="X156" s="461"/>
      <c r="Y156" s="547"/>
      <c r="Z156" s="548"/>
      <c r="AA156" s="549" t="s">
        <v>3830</v>
      </c>
      <c r="AB156" s="550"/>
      <c r="AC156" s="551"/>
      <c r="AD156" s="551"/>
      <c r="AE156" s="552"/>
      <c r="AF156" s="553"/>
      <c r="AG156" s="553"/>
    </row>
    <row r="157" spans="1:33" s="393" customFormat="1" ht="15.95" customHeight="1">
      <c r="A157" s="319"/>
      <c r="B157" s="319"/>
      <c r="C157" s="319"/>
      <c r="D157" s="320"/>
      <c r="E157" s="100"/>
      <c r="F157" s="100"/>
      <c r="G157" s="100"/>
      <c r="H157" s="100"/>
      <c r="I157" s="101"/>
      <c r="J157" s="399"/>
      <c r="K157" s="539"/>
      <c r="L157" s="100"/>
      <c r="M157" s="383"/>
      <c r="N157" s="101"/>
      <c r="O157" s="422"/>
      <c r="P157" s="356"/>
      <c r="Q157" s="426"/>
      <c r="R157" s="426"/>
      <c r="S157" s="426"/>
      <c r="T157" s="356"/>
      <c r="U157" s="422"/>
      <c r="V157" s="426"/>
      <c r="W157" s="426"/>
      <c r="X157" s="126"/>
      <c r="Y157" s="427"/>
      <c r="Z157" s="392"/>
      <c r="AA157" s="428"/>
      <c r="AB157" s="395"/>
      <c r="AC157" s="430"/>
      <c r="AD157" s="430"/>
      <c r="AE157" s="432"/>
      <c r="AF157" s="433"/>
      <c r="AG157" s="433"/>
    </row>
    <row r="158" spans="1:33" s="393" customFormat="1" ht="15.95" customHeight="1">
      <c r="A158" s="319"/>
      <c r="B158" s="319"/>
      <c r="C158" s="319"/>
      <c r="D158" s="320"/>
      <c r="E158" s="100"/>
      <c r="F158" s="100"/>
      <c r="G158" s="100"/>
      <c r="H158" s="100"/>
      <c r="I158" s="101"/>
      <c r="J158" s="399"/>
      <c r="K158" s="539"/>
      <c r="L158" s="100"/>
      <c r="M158" s="383"/>
      <c r="N158" s="101"/>
      <c r="O158" s="422"/>
      <c r="P158" s="356"/>
      <c r="Q158" s="426"/>
      <c r="R158" s="426"/>
      <c r="S158" s="426"/>
      <c r="T158" s="356"/>
      <c r="U158" s="422"/>
      <c r="V158" s="426"/>
      <c r="W158" s="426"/>
      <c r="X158" s="126"/>
      <c r="Y158" s="427"/>
      <c r="Z158" s="392"/>
      <c r="AA158" s="428"/>
      <c r="AB158" s="395"/>
      <c r="AC158" s="430"/>
      <c r="AD158" s="430"/>
      <c r="AE158" s="432"/>
      <c r="AF158" s="433"/>
      <c r="AG158" s="433"/>
    </row>
    <row r="159" spans="1:33" s="393" customFormat="1" ht="15.95" customHeight="1">
      <c r="A159" s="319"/>
      <c r="B159" s="319"/>
      <c r="C159" s="319"/>
      <c r="D159" s="320"/>
      <c r="E159" s="100"/>
      <c r="F159" s="100"/>
      <c r="G159" s="100"/>
      <c r="H159" s="100"/>
      <c r="I159" s="101"/>
      <c r="J159" s="399"/>
      <c r="K159" s="539"/>
      <c r="L159" s="100"/>
      <c r="M159" s="383"/>
      <c r="N159" s="101"/>
      <c r="O159" s="422"/>
      <c r="P159" s="356"/>
      <c r="Q159" s="426"/>
      <c r="R159" s="426"/>
      <c r="S159" s="426"/>
      <c r="T159" s="356"/>
      <c r="U159" s="422"/>
      <c r="V159" s="426"/>
      <c r="W159" s="426"/>
      <c r="X159" s="126"/>
      <c r="Y159" s="427"/>
      <c r="Z159" s="392"/>
      <c r="AA159" s="428"/>
      <c r="AB159" s="395"/>
      <c r="AC159" s="430"/>
      <c r="AD159" s="430"/>
      <c r="AE159" s="432"/>
      <c r="AF159" s="433"/>
      <c r="AG159" s="433"/>
    </row>
    <row r="160" spans="1:33" s="393" customFormat="1" ht="15.75" customHeight="1">
      <c r="C160" s="91" t="s">
        <v>3110</v>
      </c>
      <c r="D160" s="87"/>
      <c r="E160" s="88"/>
      <c r="F160" s="89"/>
      <c r="G160" s="90"/>
      <c r="H160" s="90"/>
      <c r="I160" s="90"/>
      <c r="J160" s="77"/>
      <c r="K160" s="77"/>
      <c r="L160" s="78"/>
      <c r="M160" s="77"/>
      <c r="N160" s="90"/>
      <c r="O160" s="80"/>
      <c r="P160" s="77"/>
      <c r="Q160" s="77">
        <f>SUBTOTAL(9,Q12:Q155)</f>
        <v>27454.830000000027</v>
      </c>
      <c r="R160" s="79">
        <f>SUBTOTAL(9,R11:R155)</f>
        <v>2745.4830000000047</v>
      </c>
      <c r="S160" s="77">
        <f>SUBTOTAL(9,S12:S155)</f>
        <v>24709.346999999969</v>
      </c>
      <c r="T160" s="77"/>
      <c r="U160" s="80"/>
      <c r="V160" s="398"/>
      <c r="W160" s="398">
        <f>SUBTOTAL(9,W12:W155)</f>
        <v>15954.700000000043</v>
      </c>
      <c r="X160" s="398">
        <f>SUBTOTAL(9,X12:X155)</f>
        <v>9807.813464987983</v>
      </c>
      <c r="Y160" s="398">
        <f>SUBTOTAL(9,Y12:Y155)</f>
        <v>6146.8865350120068</v>
      </c>
      <c r="Z160" s="392"/>
      <c r="AA160" s="428"/>
      <c r="AB160" s="395"/>
    </row>
    <row r="161" spans="1:33">
      <c r="S161" s="215"/>
      <c r="AC161" s="431"/>
      <c r="AD161" s="431"/>
      <c r="AF161" s="434"/>
      <c r="AG161" s="434"/>
    </row>
    <row r="162" spans="1:33">
      <c r="AG162" s="434"/>
    </row>
    <row r="163" spans="1:33">
      <c r="C163" s="91" t="s">
        <v>3139</v>
      </c>
    </row>
    <row r="164" spans="1:33">
      <c r="C164" s="92" t="s">
        <v>3137</v>
      </c>
    </row>
    <row r="165" spans="1:33">
      <c r="C165" s="93"/>
    </row>
    <row r="166" spans="1:33">
      <c r="C166" s="91" t="s">
        <v>3138</v>
      </c>
    </row>
    <row r="169" spans="1:33" ht="12.75">
      <c r="A169" s="391" t="s">
        <v>3764</v>
      </c>
      <c r="B169" t="s">
        <v>3765</v>
      </c>
      <c r="C169"/>
      <c r="D169"/>
      <c r="E169"/>
      <c r="F169"/>
      <c r="G169"/>
      <c r="H169"/>
      <c r="I169"/>
      <c r="J169"/>
      <c r="K169"/>
      <c r="L169"/>
      <c r="M169"/>
      <c r="N169"/>
      <c r="O169"/>
      <c r="P169"/>
      <c r="Q169"/>
      <c r="R169"/>
      <c r="S169"/>
      <c r="T169"/>
      <c r="U169"/>
    </row>
    <row r="170" spans="1:33" ht="12.75">
      <c r="A170" s="391" t="s">
        <v>3764</v>
      </c>
      <c r="B170" t="s">
        <v>3766</v>
      </c>
      <c r="C170"/>
      <c r="D170"/>
      <c r="E170"/>
      <c r="F170"/>
      <c r="G170"/>
      <c r="H170"/>
      <c r="I170"/>
      <c r="J170"/>
      <c r="K170"/>
      <c r="L170"/>
      <c r="M170"/>
      <c r="N170"/>
      <c r="O170"/>
      <c r="P170"/>
      <c r="Q170"/>
      <c r="R170"/>
      <c r="S170"/>
      <c r="T170"/>
      <c r="U170"/>
    </row>
    <row r="171" spans="1:33" ht="12.75">
      <c r="A171" s="391" t="s">
        <v>3764</v>
      </c>
      <c r="B171" t="s">
        <v>3767</v>
      </c>
      <c r="C171"/>
      <c r="D171"/>
      <c r="E171"/>
      <c r="F171"/>
      <c r="G171"/>
      <c r="H171"/>
      <c r="I171"/>
      <c r="J171"/>
      <c r="K171"/>
      <c r="L171"/>
      <c r="M171"/>
      <c r="N171"/>
      <c r="O171"/>
      <c r="P171"/>
      <c r="Q171"/>
      <c r="R171"/>
      <c r="S171"/>
      <c r="T171"/>
      <c r="U171"/>
    </row>
    <row r="172" spans="1:33" ht="12.75">
      <c r="A172" s="391" t="s">
        <v>3764</v>
      </c>
      <c r="B172" t="s">
        <v>3768</v>
      </c>
      <c r="C172"/>
      <c r="D172"/>
      <c r="E172"/>
      <c r="F172"/>
      <c r="G172"/>
      <c r="H172"/>
      <c r="I172"/>
      <c r="J172"/>
      <c r="K172"/>
      <c r="L172"/>
      <c r="M172"/>
      <c r="N172"/>
      <c r="O172"/>
      <c r="P172"/>
      <c r="Q172"/>
      <c r="R172"/>
      <c r="S172"/>
      <c r="T172"/>
      <c r="U172"/>
    </row>
    <row r="173" spans="1:33" ht="12.75">
      <c r="A173" s="391" t="s">
        <v>3764</v>
      </c>
      <c r="B173" t="s">
        <v>3769</v>
      </c>
      <c r="C173"/>
      <c r="D173"/>
      <c r="E173"/>
      <c r="F173"/>
      <c r="G173"/>
      <c r="H173"/>
      <c r="I173"/>
      <c r="J173"/>
      <c r="K173"/>
      <c r="L173"/>
      <c r="M173"/>
      <c r="N173"/>
      <c r="O173"/>
      <c r="P173"/>
      <c r="Q173"/>
      <c r="R173"/>
      <c r="S173"/>
      <c r="T173"/>
      <c r="U173"/>
    </row>
    <row r="174" spans="1:33" ht="12.75">
      <c r="A174" s="391" t="s">
        <v>3764</v>
      </c>
      <c r="B174" t="s">
        <v>3770</v>
      </c>
      <c r="C174"/>
      <c r="D174"/>
      <c r="E174"/>
      <c r="F174"/>
      <c r="G174"/>
      <c r="H174"/>
      <c r="I174"/>
      <c r="J174"/>
      <c r="K174"/>
      <c r="L174"/>
      <c r="M174"/>
      <c r="N174"/>
      <c r="O174"/>
      <c r="P174"/>
      <c r="Q174"/>
      <c r="R174"/>
      <c r="S174"/>
      <c r="T174"/>
      <c r="U174"/>
    </row>
    <row r="175" spans="1:33" ht="12.75">
      <c r="A175" s="391" t="s">
        <v>3764</v>
      </c>
      <c r="B175" t="s">
        <v>3771</v>
      </c>
      <c r="C175"/>
      <c r="D175"/>
      <c r="E175"/>
      <c r="F175"/>
      <c r="G175"/>
      <c r="H175"/>
      <c r="I175"/>
      <c r="J175"/>
      <c r="K175"/>
      <c r="L175"/>
      <c r="M175"/>
      <c r="N175"/>
      <c r="O175"/>
      <c r="P175"/>
      <c r="Q175"/>
      <c r="R175"/>
      <c r="S175"/>
      <c r="T175"/>
      <c r="U175"/>
    </row>
  </sheetData>
  <sheetProtection algorithmName="SHA-512" hashValue="r5KAE4jQtYHZ7qtOAXXbLq4Dgy0D9ZhVkno6pT3Gzr8lCyN1m1/WP2fyz9ItYM6pNshFS5UWMN1dPGob8Cepww==" saltValue="w4W+w1GQ59A7CoNmHWbFLg==" spinCount="100000" sheet="1" objects="1" scenarios="1"/>
  <autoFilter ref="A11:AG156"/>
  <mergeCells count="20">
    <mergeCell ref="Z10:Z11"/>
    <mergeCell ref="M10:M11"/>
    <mergeCell ref="J10:J11"/>
    <mergeCell ref="O10:S10"/>
    <mergeCell ref="U10:Y10"/>
    <mergeCell ref="L10:L11"/>
    <mergeCell ref="K10:K11"/>
    <mergeCell ref="A10:A11"/>
    <mergeCell ref="B10:B11"/>
    <mergeCell ref="C10:C11"/>
    <mergeCell ref="D10:D11"/>
    <mergeCell ref="E10:E11"/>
    <mergeCell ref="I10:I11"/>
    <mergeCell ref="N10:N11"/>
    <mergeCell ref="D3:G3"/>
    <mergeCell ref="E6:G6"/>
    <mergeCell ref="C8:Y8"/>
    <mergeCell ref="F10:F11"/>
    <mergeCell ref="G10:G11"/>
    <mergeCell ref="H10:H11"/>
  </mergeCells>
  <conditionalFormatting sqref="D1:D14 D16 D18:D60 D62:D63 D65 D67 D69:D70 D72:D76 D78 D80:D82 D84 D86 D88 D90 D92 D94:D95 D97:D100 D102:D103 D105 D107:D110 D112:D116 D118:D121 D123:D124 D126:D127 D129:D132 D134:D135 D137:D140 D142:D147 D149 D151:D152 D154:D155 D157:D65536">
    <cfRule type="cellIs" dxfId="38" priority="35" stopIfTrue="1" operator="equal">
      <formula>48753</formula>
    </cfRule>
  </conditionalFormatting>
  <conditionalFormatting sqref="D15">
    <cfRule type="cellIs" dxfId="37" priority="31" stopIfTrue="1" operator="equal">
      <formula>48753</formula>
    </cfRule>
  </conditionalFormatting>
  <conditionalFormatting sqref="D17">
    <cfRule type="cellIs" dxfId="36" priority="30" stopIfTrue="1" operator="equal">
      <formula>48753</formula>
    </cfRule>
  </conditionalFormatting>
  <conditionalFormatting sqref="D61">
    <cfRule type="cellIs" dxfId="35" priority="29" stopIfTrue="1" operator="equal">
      <formula>48753</formula>
    </cfRule>
  </conditionalFormatting>
  <conditionalFormatting sqref="D64">
    <cfRule type="cellIs" dxfId="34" priority="28" stopIfTrue="1" operator="equal">
      <formula>48753</formula>
    </cfRule>
  </conditionalFormatting>
  <conditionalFormatting sqref="D66">
    <cfRule type="cellIs" dxfId="33" priority="27" stopIfTrue="1" operator="equal">
      <formula>48753</formula>
    </cfRule>
  </conditionalFormatting>
  <conditionalFormatting sqref="D68">
    <cfRule type="cellIs" dxfId="32" priority="26" stopIfTrue="1" operator="equal">
      <formula>48753</formula>
    </cfRule>
  </conditionalFormatting>
  <conditionalFormatting sqref="D71">
    <cfRule type="cellIs" dxfId="31" priority="25" stopIfTrue="1" operator="equal">
      <formula>48753</formula>
    </cfRule>
  </conditionalFormatting>
  <conditionalFormatting sqref="D77">
    <cfRule type="cellIs" dxfId="30" priority="24" stopIfTrue="1" operator="equal">
      <formula>48753</formula>
    </cfRule>
  </conditionalFormatting>
  <conditionalFormatting sqref="D79">
    <cfRule type="cellIs" dxfId="29" priority="23" stopIfTrue="1" operator="equal">
      <formula>48753</formula>
    </cfRule>
  </conditionalFormatting>
  <conditionalFormatting sqref="D83">
    <cfRule type="cellIs" dxfId="28" priority="22" stopIfTrue="1" operator="equal">
      <formula>48753</formula>
    </cfRule>
  </conditionalFormatting>
  <conditionalFormatting sqref="D85">
    <cfRule type="cellIs" dxfId="27" priority="21" stopIfTrue="1" operator="equal">
      <formula>48753</formula>
    </cfRule>
  </conditionalFormatting>
  <conditionalFormatting sqref="D87">
    <cfRule type="cellIs" dxfId="26" priority="20" stopIfTrue="1" operator="equal">
      <formula>48753</formula>
    </cfRule>
  </conditionalFormatting>
  <conditionalFormatting sqref="D89">
    <cfRule type="cellIs" dxfId="25" priority="19" stopIfTrue="1" operator="equal">
      <formula>48753</formula>
    </cfRule>
  </conditionalFormatting>
  <conditionalFormatting sqref="D91">
    <cfRule type="cellIs" dxfId="24" priority="18" stopIfTrue="1" operator="equal">
      <formula>48753</formula>
    </cfRule>
  </conditionalFormatting>
  <conditionalFormatting sqref="D93">
    <cfRule type="cellIs" dxfId="23" priority="17" stopIfTrue="1" operator="equal">
      <formula>48753</formula>
    </cfRule>
  </conditionalFormatting>
  <conditionalFormatting sqref="D96">
    <cfRule type="cellIs" dxfId="22" priority="16" stopIfTrue="1" operator="equal">
      <formula>48753</formula>
    </cfRule>
  </conditionalFormatting>
  <conditionalFormatting sqref="D101">
    <cfRule type="cellIs" dxfId="21" priority="15" stopIfTrue="1" operator="equal">
      <formula>48753</formula>
    </cfRule>
  </conditionalFormatting>
  <conditionalFormatting sqref="D104">
    <cfRule type="cellIs" dxfId="20" priority="14" stopIfTrue="1" operator="equal">
      <formula>48753</formula>
    </cfRule>
  </conditionalFormatting>
  <conditionalFormatting sqref="D106">
    <cfRule type="cellIs" dxfId="19" priority="13" stopIfTrue="1" operator="equal">
      <formula>48753</formula>
    </cfRule>
  </conditionalFormatting>
  <conditionalFormatting sqref="D111">
    <cfRule type="cellIs" dxfId="18" priority="12" stopIfTrue="1" operator="equal">
      <formula>48753</formula>
    </cfRule>
  </conditionalFormatting>
  <conditionalFormatting sqref="D117">
    <cfRule type="cellIs" dxfId="17" priority="11" stopIfTrue="1" operator="equal">
      <formula>48753</formula>
    </cfRule>
  </conditionalFormatting>
  <conditionalFormatting sqref="D122">
    <cfRule type="cellIs" dxfId="16" priority="10" stopIfTrue="1" operator="equal">
      <formula>48753</formula>
    </cfRule>
  </conditionalFormatting>
  <conditionalFormatting sqref="D125">
    <cfRule type="cellIs" dxfId="15" priority="9" stopIfTrue="1" operator="equal">
      <formula>48753</formula>
    </cfRule>
  </conditionalFormatting>
  <conditionalFormatting sqref="D128">
    <cfRule type="cellIs" dxfId="14" priority="8" stopIfTrue="1" operator="equal">
      <formula>48753</formula>
    </cfRule>
  </conditionalFormatting>
  <conditionalFormatting sqref="D133">
    <cfRule type="cellIs" dxfId="13" priority="7" stopIfTrue="1" operator="equal">
      <formula>48753</formula>
    </cfRule>
  </conditionalFormatting>
  <conditionalFormatting sqref="D136">
    <cfRule type="cellIs" dxfId="12" priority="6" stopIfTrue="1" operator="equal">
      <formula>48753</formula>
    </cfRule>
  </conditionalFormatting>
  <conditionalFormatting sqref="D141">
    <cfRule type="cellIs" dxfId="11" priority="5" stopIfTrue="1" operator="equal">
      <formula>48753</formula>
    </cfRule>
  </conditionalFormatting>
  <conditionalFormatting sqref="D148">
    <cfRule type="cellIs" dxfId="10" priority="4" stopIfTrue="1" operator="equal">
      <formula>48753</formula>
    </cfRule>
  </conditionalFormatting>
  <conditionalFormatting sqref="D150">
    <cfRule type="cellIs" dxfId="9" priority="3" stopIfTrue="1" operator="equal">
      <formula>48753</formula>
    </cfRule>
  </conditionalFormatting>
  <conditionalFormatting sqref="D153">
    <cfRule type="cellIs" dxfId="8" priority="2" stopIfTrue="1" operator="equal">
      <formula>48753</formula>
    </cfRule>
  </conditionalFormatting>
  <conditionalFormatting sqref="D156">
    <cfRule type="cellIs" dxfId="7" priority="1" stopIfTrue="1" operator="equal">
      <formula>48753</formula>
    </cfRule>
  </conditionalFormatting>
  <printOptions horizontalCentered="1"/>
  <pageMargins left="0.19685039370078741" right="0.19685039370078741" top="0.78740157480314965" bottom="0.78740157480314965" header="0.31496062992125984" footer="0.31496062992125984"/>
  <pageSetup paperSize="9" scale="33" orientation="landscape" r:id="rId1"/>
  <headerFooter>
    <oddHeader>&amp;LCONSERVO SERVIÇOS GERAIS LTDA&amp;CFATURAMENTO DE VALE-ALIMENTAÇÃO E VALE TRANSPORTEPROCURADORIA GERAL DE JUSTIÇA MOTORISTAS&amp;RAGOSTO/2014</oddHeader>
    <oddFooter>&amp;LVIVIANE DE JESUSGERÊNCIA DE CONTRATOS(31)33793894&amp;R&amp;F</oddFooter>
  </headerFooter>
  <rowBreaks count="1" manualBreakCount="1">
    <brk id="73" max="24" man="1"/>
  </rowBreak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11">
    <tabColor theme="3" tint="0.79998168889431442"/>
    <pageSetUpPr fitToPage="1"/>
  </sheetPr>
  <dimension ref="A1:GK263"/>
  <sheetViews>
    <sheetView workbookViewId="0">
      <selection activeCell="E21" sqref="E21"/>
    </sheetView>
  </sheetViews>
  <sheetFormatPr defaultRowHeight="12.75"/>
  <cols>
    <col min="1" max="1" width="24.140625" style="140" customWidth="1"/>
    <col min="2" max="2" width="33.28515625" style="153" customWidth="1"/>
    <col min="3" max="3" width="39.85546875" style="153" customWidth="1"/>
    <col min="4" max="4" width="14.5703125" style="153" customWidth="1"/>
    <col min="5" max="5" width="15.28515625" style="153" customWidth="1"/>
    <col min="6" max="6" width="9.85546875" style="182" customWidth="1"/>
    <col min="7" max="7" width="10.85546875" style="182" customWidth="1"/>
    <col min="8" max="8" width="10.85546875" style="180" customWidth="1"/>
    <col min="9" max="9" width="9.7109375" style="139" customWidth="1"/>
    <col min="10" max="10" width="9.7109375" style="140" customWidth="1"/>
    <col min="11" max="12" width="10.7109375" style="140" customWidth="1"/>
    <col min="13" max="13" width="10.140625" style="140" customWidth="1"/>
    <col min="14" max="14" width="11.7109375" style="140" customWidth="1"/>
    <col min="15" max="15" width="11.5703125" style="140" customWidth="1"/>
    <col min="16" max="16" width="9.85546875" style="182" customWidth="1"/>
    <col min="17" max="17" width="10.85546875" style="182" customWidth="1"/>
    <col min="18" max="18" width="10.85546875" style="180" customWidth="1"/>
    <col min="19" max="19" width="9.7109375" style="139" customWidth="1"/>
    <col min="20" max="20" width="9.7109375" style="140" customWidth="1"/>
    <col min="21" max="22" width="10.7109375" style="140" customWidth="1"/>
    <col min="23" max="23" width="10.140625" style="140" customWidth="1"/>
    <col min="24" max="24" width="11.7109375" style="140" customWidth="1"/>
    <col min="25" max="25" width="11.5703125" style="140" customWidth="1"/>
    <col min="26" max="26" width="9.85546875" style="182" customWidth="1"/>
    <col min="27" max="27" width="10.85546875" style="182" customWidth="1"/>
    <col min="28" max="28" width="10.85546875" style="180" customWidth="1"/>
    <col min="29" max="29" width="9.7109375" style="139" customWidth="1"/>
    <col min="30" max="30" width="9.7109375" style="140" customWidth="1"/>
    <col min="31" max="32" width="10.7109375" style="140" customWidth="1"/>
    <col min="33" max="33" width="10.140625" style="140" customWidth="1"/>
    <col min="34" max="34" width="11.7109375" style="140" customWidth="1"/>
    <col min="35" max="35" width="11.5703125" style="140" customWidth="1"/>
    <col min="36" max="36" width="9.85546875" style="182" customWidth="1"/>
    <col min="37" max="37" width="10.85546875" style="182" customWidth="1"/>
    <col min="38" max="38" width="10.85546875" style="180" customWidth="1"/>
    <col min="39" max="39" width="9.7109375" style="139" customWidth="1"/>
    <col min="40" max="40" width="9.7109375" style="140" customWidth="1"/>
    <col min="41" max="42" width="10.7109375" style="140" customWidth="1"/>
    <col min="43" max="43" width="10.140625" style="140" customWidth="1"/>
    <col min="44" max="44" width="11.7109375" style="140" customWidth="1"/>
    <col min="45" max="45" width="11.5703125" style="140" customWidth="1"/>
    <col min="46" max="46" width="9.85546875" style="182" customWidth="1"/>
    <col min="47" max="47" width="10.85546875" style="182" customWidth="1"/>
    <col min="48" max="48" width="10.85546875" style="180" customWidth="1"/>
    <col min="49" max="49" width="9.7109375" style="139" customWidth="1"/>
    <col min="50" max="50" width="9.7109375" style="140" customWidth="1"/>
    <col min="51" max="52" width="10.7109375" style="140" customWidth="1"/>
    <col min="53" max="53" width="10.140625" style="140" customWidth="1"/>
    <col min="54" max="54" width="11.7109375" style="140" customWidth="1"/>
    <col min="55" max="55" width="11.5703125" style="140" customWidth="1"/>
    <col min="56" max="56" width="21" style="140" customWidth="1"/>
    <col min="57" max="16384" width="9.140625" style="140"/>
  </cols>
  <sheetData>
    <row r="1" spans="1:193" ht="16.5" thickBot="1">
      <c r="B1" s="602" t="s">
        <v>3162</v>
      </c>
      <c r="C1" s="597"/>
      <c r="D1" s="136"/>
      <c r="E1" s="137"/>
      <c r="F1" s="137"/>
      <c r="G1" s="137"/>
      <c r="H1" s="138"/>
      <c r="P1" s="137"/>
      <c r="Q1" s="137"/>
      <c r="R1" s="138"/>
      <c r="Z1" s="137"/>
      <c r="AA1" s="137"/>
      <c r="AB1" s="138"/>
      <c r="AJ1" s="137"/>
      <c r="AK1" s="137"/>
      <c r="AL1" s="138"/>
      <c r="AT1" s="137"/>
      <c r="AU1" s="137"/>
      <c r="AV1" s="138"/>
    </row>
    <row r="2" spans="1:193" ht="16.5" customHeight="1">
      <c r="B2" s="596" t="s">
        <v>3164</v>
      </c>
      <c r="C2" s="598"/>
      <c r="D2" s="141"/>
      <c r="E2" s="141"/>
      <c r="F2" s="770" t="s">
        <v>3217</v>
      </c>
      <c r="G2" s="771"/>
      <c r="H2" s="771"/>
      <c r="I2" s="771"/>
      <c r="J2" s="771"/>
      <c r="K2" s="771"/>
      <c r="L2" s="771"/>
      <c r="M2" s="771"/>
      <c r="N2" s="771"/>
      <c r="O2" s="815"/>
      <c r="P2" s="770" t="s">
        <v>3218</v>
      </c>
      <c r="Q2" s="771"/>
      <c r="R2" s="771"/>
      <c r="S2" s="771"/>
      <c r="T2" s="771"/>
      <c r="U2" s="771"/>
      <c r="V2" s="771"/>
      <c r="W2" s="771"/>
      <c r="X2" s="771"/>
      <c r="Y2" s="815"/>
      <c r="Z2" s="770" t="s">
        <v>3219</v>
      </c>
      <c r="AA2" s="771"/>
      <c r="AB2" s="771"/>
      <c r="AC2" s="771"/>
      <c r="AD2" s="771"/>
      <c r="AE2" s="771"/>
      <c r="AF2" s="771"/>
      <c r="AG2" s="771"/>
      <c r="AH2" s="771"/>
      <c r="AI2" s="815"/>
      <c r="AJ2" s="771" t="s">
        <v>3220</v>
      </c>
      <c r="AK2" s="771"/>
      <c r="AL2" s="771"/>
      <c r="AM2" s="771"/>
      <c r="AN2" s="771"/>
      <c r="AO2" s="771"/>
      <c r="AP2" s="771"/>
      <c r="AQ2" s="771"/>
      <c r="AR2" s="771"/>
      <c r="AS2" s="815"/>
      <c r="AT2" s="770" t="s">
        <v>3221</v>
      </c>
      <c r="AU2" s="771"/>
      <c r="AV2" s="771"/>
      <c r="AW2" s="771"/>
      <c r="AX2" s="771"/>
      <c r="AY2" s="771"/>
      <c r="AZ2" s="771"/>
      <c r="BA2" s="771"/>
      <c r="BB2" s="771"/>
      <c r="BC2" s="771"/>
      <c r="BD2" s="757" t="s">
        <v>3222</v>
      </c>
    </row>
    <row r="3" spans="1:193" ht="16.5" customHeight="1" thickBot="1">
      <c r="B3" s="601" t="s">
        <v>3223</v>
      </c>
      <c r="C3" s="599"/>
      <c r="D3" s="141"/>
      <c r="E3" s="142"/>
      <c r="F3" s="772"/>
      <c r="G3" s="773"/>
      <c r="H3" s="773"/>
      <c r="I3" s="773"/>
      <c r="J3" s="773"/>
      <c r="K3" s="773"/>
      <c r="L3" s="773"/>
      <c r="M3" s="773"/>
      <c r="N3" s="773"/>
      <c r="O3" s="816"/>
      <c r="P3" s="772"/>
      <c r="Q3" s="773"/>
      <c r="R3" s="773"/>
      <c r="S3" s="773"/>
      <c r="T3" s="773"/>
      <c r="U3" s="773"/>
      <c r="V3" s="773"/>
      <c r="W3" s="773"/>
      <c r="X3" s="773"/>
      <c r="Y3" s="816"/>
      <c r="Z3" s="772"/>
      <c r="AA3" s="773"/>
      <c r="AB3" s="773"/>
      <c r="AC3" s="773"/>
      <c r="AD3" s="773"/>
      <c r="AE3" s="773"/>
      <c r="AF3" s="773"/>
      <c r="AG3" s="773"/>
      <c r="AH3" s="773"/>
      <c r="AI3" s="816"/>
      <c r="AJ3" s="773"/>
      <c r="AK3" s="773"/>
      <c r="AL3" s="773"/>
      <c r="AM3" s="773"/>
      <c r="AN3" s="773"/>
      <c r="AO3" s="773"/>
      <c r="AP3" s="773"/>
      <c r="AQ3" s="773"/>
      <c r="AR3" s="773"/>
      <c r="AS3" s="816"/>
      <c r="AT3" s="772"/>
      <c r="AU3" s="773"/>
      <c r="AV3" s="773"/>
      <c r="AW3" s="773"/>
      <c r="AX3" s="773"/>
      <c r="AY3" s="773"/>
      <c r="AZ3" s="773"/>
      <c r="BA3" s="773"/>
      <c r="BB3" s="773"/>
      <c r="BC3" s="773"/>
      <c r="BD3" s="758"/>
    </row>
    <row r="4" spans="1:193" ht="21" customHeight="1">
      <c r="B4" s="596" t="s">
        <v>3224</v>
      </c>
      <c r="C4" s="598"/>
      <c r="D4" s="818"/>
      <c r="E4" s="818"/>
      <c r="F4" s="817" t="s">
        <v>3225</v>
      </c>
      <c r="G4" s="769"/>
      <c r="H4" s="769"/>
      <c r="I4" s="769"/>
      <c r="J4" s="769"/>
      <c r="K4" s="143">
        <v>8.3299999999999999E-2</v>
      </c>
      <c r="L4" s="760" t="s">
        <v>3226</v>
      </c>
      <c r="M4" s="761"/>
      <c r="N4" s="762"/>
      <c r="O4" s="144"/>
      <c r="P4" s="817" t="s">
        <v>3225</v>
      </c>
      <c r="Q4" s="769"/>
      <c r="R4" s="769"/>
      <c r="S4" s="769"/>
      <c r="T4" s="769"/>
      <c r="U4" s="143"/>
      <c r="V4" s="760" t="s">
        <v>3226</v>
      </c>
      <c r="W4" s="761"/>
      <c r="X4" s="762"/>
      <c r="Y4" s="144">
        <v>0.1111</v>
      </c>
      <c r="Z4" s="817" t="s">
        <v>3225</v>
      </c>
      <c r="AA4" s="769"/>
      <c r="AB4" s="769"/>
      <c r="AC4" s="769"/>
      <c r="AD4" s="769"/>
      <c r="AE4" s="143"/>
      <c r="AF4" s="760" t="s">
        <v>3226</v>
      </c>
      <c r="AG4" s="761"/>
      <c r="AH4" s="762"/>
      <c r="AI4" s="144"/>
      <c r="AJ4" s="763" t="s">
        <v>3225</v>
      </c>
      <c r="AK4" s="764"/>
      <c r="AL4" s="764"/>
      <c r="AM4" s="764"/>
      <c r="AN4" s="764"/>
      <c r="AO4" s="145">
        <v>8.3299999999999999E-2</v>
      </c>
      <c r="AP4" s="765" t="s">
        <v>3226</v>
      </c>
      <c r="AQ4" s="766"/>
      <c r="AR4" s="767"/>
      <c r="AS4" s="146"/>
      <c r="AT4" s="768" t="s">
        <v>3225</v>
      </c>
      <c r="AU4" s="769"/>
      <c r="AV4" s="769"/>
      <c r="AW4" s="769"/>
      <c r="AX4" s="769"/>
      <c r="AY4" s="143"/>
      <c r="AZ4" s="760" t="s">
        <v>3226</v>
      </c>
      <c r="BA4" s="761"/>
      <c r="BB4" s="762"/>
      <c r="BC4" s="147">
        <v>0.1111</v>
      </c>
      <c r="BD4" s="758"/>
    </row>
    <row r="5" spans="1:193" s="152" customFormat="1" ht="18" customHeight="1">
      <c r="B5" s="596" t="s">
        <v>4057</v>
      </c>
      <c r="C5" s="600" t="s">
        <v>4058</v>
      </c>
      <c r="D5" s="148"/>
      <c r="E5" s="148"/>
      <c r="F5" s="796" t="s">
        <v>3227</v>
      </c>
      <c r="G5" s="797"/>
      <c r="H5" s="797"/>
      <c r="I5" s="797"/>
      <c r="J5" s="797"/>
      <c r="K5" s="149"/>
      <c r="L5" s="793" t="s">
        <v>3228</v>
      </c>
      <c r="M5" s="794"/>
      <c r="N5" s="795"/>
      <c r="O5" s="150"/>
      <c r="P5" s="796" t="s">
        <v>3227</v>
      </c>
      <c r="Q5" s="797"/>
      <c r="R5" s="797"/>
      <c r="S5" s="797"/>
      <c r="T5" s="797"/>
      <c r="U5" s="149"/>
      <c r="V5" s="793" t="s">
        <v>3228</v>
      </c>
      <c r="W5" s="794"/>
      <c r="X5" s="795"/>
      <c r="Y5" s="150"/>
      <c r="Z5" s="796" t="s">
        <v>3227</v>
      </c>
      <c r="AA5" s="797"/>
      <c r="AB5" s="797"/>
      <c r="AC5" s="797"/>
      <c r="AD5" s="797"/>
      <c r="AE5" s="149"/>
      <c r="AF5" s="793" t="s">
        <v>3228</v>
      </c>
      <c r="AG5" s="794"/>
      <c r="AH5" s="795"/>
      <c r="AI5" s="150"/>
      <c r="AJ5" s="796" t="s">
        <v>3227</v>
      </c>
      <c r="AK5" s="797"/>
      <c r="AL5" s="797"/>
      <c r="AM5" s="797"/>
      <c r="AN5" s="797"/>
      <c r="AO5" s="149">
        <v>0.36799999999999999</v>
      </c>
      <c r="AP5" s="793" t="s">
        <v>3228</v>
      </c>
      <c r="AQ5" s="794"/>
      <c r="AR5" s="795"/>
      <c r="AS5" s="150"/>
      <c r="AT5" s="798" t="s">
        <v>3227</v>
      </c>
      <c r="AU5" s="797"/>
      <c r="AV5" s="797"/>
      <c r="AW5" s="797"/>
      <c r="AX5" s="797"/>
      <c r="AY5" s="149">
        <v>0.36799999999999999</v>
      </c>
      <c r="AZ5" s="793" t="s">
        <v>3228</v>
      </c>
      <c r="BA5" s="794"/>
      <c r="BB5" s="795"/>
      <c r="BC5" s="151"/>
      <c r="BD5" s="758"/>
    </row>
    <row r="6" spans="1:193" ht="15.75" customHeight="1" thickBot="1">
      <c r="D6" s="154"/>
      <c r="E6" s="154"/>
      <c r="F6" s="777" t="s">
        <v>3229</v>
      </c>
      <c r="G6" s="778"/>
      <c r="H6" s="778"/>
      <c r="I6" s="778"/>
      <c r="J6" s="778"/>
      <c r="K6" s="155">
        <v>0</v>
      </c>
      <c r="L6" s="774" t="s">
        <v>3230</v>
      </c>
      <c r="M6" s="775"/>
      <c r="N6" s="776"/>
      <c r="O6" s="156">
        <f>K4+O4+K6+(K4+O4)*K5+(K4+O4+K6+(K4+O4)*K5)*O5</f>
        <v>8.3299999999999999E-2</v>
      </c>
      <c r="P6" s="777" t="s">
        <v>3229</v>
      </c>
      <c r="Q6" s="778"/>
      <c r="R6" s="778"/>
      <c r="S6" s="778"/>
      <c r="T6" s="778"/>
      <c r="U6" s="155">
        <v>0</v>
      </c>
      <c r="V6" s="774" t="s">
        <v>3230</v>
      </c>
      <c r="W6" s="775"/>
      <c r="X6" s="776"/>
      <c r="Y6" s="156">
        <f>U4+Y4+U6+(U4+Y4)*U5+(U4+Y4+U6+(U4+Y4)*U5)*Y5</f>
        <v>0.1111</v>
      </c>
      <c r="Z6" s="777" t="s">
        <v>3229</v>
      </c>
      <c r="AA6" s="778"/>
      <c r="AB6" s="778"/>
      <c r="AC6" s="778"/>
      <c r="AD6" s="778"/>
      <c r="AE6" s="155">
        <v>4.2999999999999997E-2</v>
      </c>
      <c r="AF6" s="774" t="s">
        <v>3230</v>
      </c>
      <c r="AG6" s="775"/>
      <c r="AH6" s="776"/>
      <c r="AI6" s="156">
        <f>AE4+AI4+AE6+(AE4+AI4)*AE5+(AE4+AI4+AE6+(AE4+AI4)*AE5)*AI5</f>
        <v>4.2999999999999997E-2</v>
      </c>
      <c r="AJ6" s="777" t="s">
        <v>3229</v>
      </c>
      <c r="AK6" s="778"/>
      <c r="AL6" s="778"/>
      <c r="AM6" s="778"/>
      <c r="AN6" s="778"/>
      <c r="AO6" s="155">
        <v>0</v>
      </c>
      <c r="AP6" s="774" t="s">
        <v>3230</v>
      </c>
      <c r="AQ6" s="775"/>
      <c r="AR6" s="776"/>
      <c r="AS6" s="156">
        <f>(AO4)*AO5</f>
        <v>3.0654399999999998E-2</v>
      </c>
      <c r="AT6" s="779" t="s">
        <v>3229</v>
      </c>
      <c r="AU6" s="780"/>
      <c r="AV6" s="780"/>
      <c r="AW6" s="780"/>
      <c r="AX6" s="780"/>
      <c r="AY6" s="157">
        <v>0</v>
      </c>
      <c r="AZ6" s="781" t="s">
        <v>3230</v>
      </c>
      <c r="BA6" s="782"/>
      <c r="BB6" s="783"/>
      <c r="BC6" s="158">
        <f>BC4*AY5</f>
        <v>4.0884799999999999E-2</v>
      </c>
      <c r="BD6" s="758"/>
    </row>
    <row r="7" spans="1:193" ht="12.75" customHeight="1">
      <c r="A7" s="799" t="s">
        <v>3292</v>
      </c>
      <c r="B7" s="810" t="s">
        <v>3231</v>
      </c>
      <c r="C7" s="801" t="s">
        <v>1</v>
      </c>
      <c r="D7" s="811" t="s">
        <v>3232</v>
      </c>
      <c r="E7" s="813" t="s">
        <v>3233</v>
      </c>
      <c r="F7" s="786" t="s">
        <v>3234</v>
      </c>
      <c r="G7" s="803" t="s">
        <v>3235</v>
      </c>
      <c r="H7" s="806" t="s">
        <v>3236</v>
      </c>
      <c r="I7" s="808" t="s">
        <v>3237</v>
      </c>
      <c r="J7" s="784" t="s">
        <v>3238</v>
      </c>
      <c r="K7" s="784" t="s">
        <v>3239</v>
      </c>
      <c r="L7" s="784" t="s">
        <v>3240</v>
      </c>
      <c r="M7" s="791" t="s">
        <v>3241</v>
      </c>
      <c r="N7" s="791" t="s">
        <v>3242</v>
      </c>
      <c r="O7" s="789" t="s">
        <v>3243</v>
      </c>
      <c r="P7" s="786" t="s">
        <v>3234</v>
      </c>
      <c r="Q7" s="803" t="s">
        <v>3235</v>
      </c>
      <c r="R7" s="806" t="s">
        <v>3236</v>
      </c>
      <c r="S7" s="808" t="s">
        <v>3237</v>
      </c>
      <c r="T7" s="784" t="s">
        <v>3238</v>
      </c>
      <c r="U7" s="784" t="s">
        <v>3239</v>
      </c>
      <c r="V7" s="784" t="s">
        <v>3240</v>
      </c>
      <c r="W7" s="791" t="s">
        <v>3241</v>
      </c>
      <c r="X7" s="791" t="s">
        <v>3242</v>
      </c>
      <c r="Y7" s="789" t="s">
        <v>3243</v>
      </c>
      <c r="Z7" s="786" t="s">
        <v>3234</v>
      </c>
      <c r="AA7" s="803" t="s">
        <v>3235</v>
      </c>
      <c r="AB7" s="806" t="s">
        <v>3236</v>
      </c>
      <c r="AC7" s="808" t="s">
        <v>3237</v>
      </c>
      <c r="AD7" s="784" t="s">
        <v>3238</v>
      </c>
      <c r="AE7" s="784" t="s">
        <v>3239</v>
      </c>
      <c r="AF7" s="784" t="s">
        <v>3240</v>
      </c>
      <c r="AG7" s="791" t="s">
        <v>3241</v>
      </c>
      <c r="AH7" s="791" t="s">
        <v>3242</v>
      </c>
      <c r="AI7" s="789" t="s">
        <v>3243</v>
      </c>
      <c r="AJ7" s="786" t="s">
        <v>3234</v>
      </c>
      <c r="AK7" s="803" t="s">
        <v>3235</v>
      </c>
      <c r="AL7" s="806" t="s">
        <v>3236</v>
      </c>
      <c r="AM7" s="808" t="s">
        <v>3237</v>
      </c>
      <c r="AN7" s="784" t="s">
        <v>3238</v>
      </c>
      <c r="AO7" s="784" t="s">
        <v>3239</v>
      </c>
      <c r="AP7" s="784" t="s">
        <v>3240</v>
      </c>
      <c r="AQ7" s="791" t="s">
        <v>3241</v>
      </c>
      <c r="AR7" s="791" t="s">
        <v>3242</v>
      </c>
      <c r="AS7" s="789" t="s">
        <v>3243</v>
      </c>
      <c r="AT7" s="825" t="s">
        <v>3234</v>
      </c>
      <c r="AU7" s="826" t="s">
        <v>3235</v>
      </c>
      <c r="AV7" s="822" t="s">
        <v>3236</v>
      </c>
      <c r="AW7" s="823" t="s">
        <v>3237</v>
      </c>
      <c r="AX7" s="824" t="s">
        <v>3238</v>
      </c>
      <c r="AY7" s="824" t="s">
        <v>3239</v>
      </c>
      <c r="AZ7" s="824" t="s">
        <v>3240</v>
      </c>
      <c r="BA7" s="819" t="s">
        <v>3241</v>
      </c>
      <c r="BB7" s="819" t="s">
        <v>3242</v>
      </c>
      <c r="BC7" s="820" t="s">
        <v>3243</v>
      </c>
      <c r="BD7" s="759"/>
    </row>
    <row r="8" spans="1:193" ht="12.75" customHeight="1">
      <c r="A8" s="800"/>
      <c r="B8" s="800"/>
      <c r="C8" s="800"/>
      <c r="D8" s="811"/>
      <c r="E8" s="813"/>
      <c r="F8" s="787"/>
      <c r="G8" s="804"/>
      <c r="H8" s="807"/>
      <c r="I8" s="809"/>
      <c r="J8" s="785"/>
      <c r="K8" s="785"/>
      <c r="L8" s="785"/>
      <c r="M8" s="792"/>
      <c r="N8" s="792"/>
      <c r="O8" s="790"/>
      <c r="P8" s="787"/>
      <c r="Q8" s="804"/>
      <c r="R8" s="807"/>
      <c r="S8" s="809"/>
      <c r="T8" s="785"/>
      <c r="U8" s="785"/>
      <c r="V8" s="785"/>
      <c r="W8" s="792"/>
      <c r="X8" s="792"/>
      <c r="Y8" s="790"/>
      <c r="Z8" s="787"/>
      <c r="AA8" s="804"/>
      <c r="AB8" s="807"/>
      <c r="AC8" s="809"/>
      <c r="AD8" s="785"/>
      <c r="AE8" s="785"/>
      <c r="AF8" s="785"/>
      <c r="AG8" s="792"/>
      <c r="AH8" s="792"/>
      <c r="AI8" s="790"/>
      <c r="AJ8" s="787"/>
      <c r="AK8" s="804"/>
      <c r="AL8" s="807"/>
      <c r="AM8" s="809"/>
      <c r="AN8" s="785"/>
      <c r="AO8" s="785"/>
      <c r="AP8" s="785"/>
      <c r="AQ8" s="792"/>
      <c r="AR8" s="792"/>
      <c r="AS8" s="790"/>
      <c r="AT8" s="787"/>
      <c r="AU8" s="804"/>
      <c r="AV8" s="807"/>
      <c r="AW8" s="809"/>
      <c r="AX8" s="785"/>
      <c r="AY8" s="785"/>
      <c r="AZ8" s="785"/>
      <c r="BA8" s="792"/>
      <c r="BB8" s="792"/>
      <c r="BC8" s="790"/>
      <c r="BD8" s="759"/>
    </row>
    <row r="9" spans="1:193" ht="23.25" customHeight="1">
      <c r="A9" s="800" t="s">
        <v>3292</v>
      </c>
      <c r="B9" s="800"/>
      <c r="C9" s="802"/>
      <c r="D9" s="812"/>
      <c r="E9" s="814"/>
      <c r="F9" s="788"/>
      <c r="G9" s="805"/>
      <c r="H9" s="807"/>
      <c r="I9" s="809"/>
      <c r="J9" s="785"/>
      <c r="K9" s="785"/>
      <c r="L9" s="785"/>
      <c r="M9" s="792"/>
      <c r="N9" s="792"/>
      <c r="O9" s="790"/>
      <c r="P9" s="788"/>
      <c r="Q9" s="805"/>
      <c r="R9" s="807"/>
      <c r="S9" s="809"/>
      <c r="T9" s="785"/>
      <c r="U9" s="785"/>
      <c r="V9" s="785"/>
      <c r="W9" s="792"/>
      <c r="X9" s="792"/>
      <c r="Y9" s="790"/>
      <c r="Z9" s="788"/>
      <c r="AA9" s="805"/>
      <c r="AB9" s="807"/>
      <c r="AC9" s="809"/>
      <c r="AD9" s="785"/>
      <c r="AE9" s="785"/>
      <c r="AF9" s="785"/>
      <c r="AG9" s="792"/>
      <c r="AH9" s="792"/>
      <c r="AI9" s="790"/>
      <c r="AJ9" s="788"/>
      <c r="AK9" s="805"/>
      <c r="AL9" s="807"/>
      <c r="AM9" s="809"/>
      <c r="AN9" s="785"/>
      <c r="AO9" s="785"/>
      <c r="AP9" s="785"/>
      <c r="AQ9" s="792"/>
      <c r="AR9" s="792"/>
      <c r="AS9" s="790"/>
      <c r="AT9" s="788"/>
      <c r="AU9" s="805"/>
      <c r="AV9" s="807"/>
      <c r="AW9" s="809"/>
      <c r="AX9" s="785"/>
      <c r="AY9" s="785"/>
      <c r="AZ9" s="785"/>
      <c r="BA9" s="792"/>
      <c r="BB9" s="792"/>
      <c r="BC9" s="790"/>
      <c r="BD9" s="759"/>
    </row>
    <row r="10" spans="1:193">
      <c r="A10" s="159"/>
      <c r="B10" s="159"/>
      <c r="C10" s="586"/>
      <c r="D10" s="160"/>
      <c r="E10" s="160"/>
      <c r="F10" s="161"/>
      <c r="G10" s="162"/>
      <c r="H10" s="162"/>
      <c r="I10" s="163"/>
      <c r="J10" s="164"/>
      <c r="K10" s="164"/>
      <c r="L10" s="164"/>
      <c r="M10" s="164"/>
      <c r="N10" s="164"/>
      <c r="O10" s="165"/>
      <c r="P10" s="161"/>
      <c r="Q10" s="162"/>
      <c r="R10" s="162"/>
      <c r="S10" s="163"/>
      <c r="T10" s="164"/>
      <c r="U10" s="164"/>
      <c r="V10" s="164"/>
      <c r="W10" s="164"/>
      <c r="X10" s="164"/>
      <c r="Y10" s="165"/>
      <c r="Z10" s="161"/>
      <c r="AA10" s="162"/>
      <c r="AB10" s="162"/>
      <c r="AC10" s="163"/>
      <c r="AD10" s="164"/>
      <c r="AE10" s="164"/>
      <c r="AF10" s="164"/>
      <c r="AG10" s="164"/>
      <c r="AH10" s="164"/>
      <c r="AI10" s="165"/>
      <c r="AJ10" s="161"/>
      <c r="AK10" s="162"/>
      <c r="AL10" s="162"/>
      <c r="AM10" s="163"/>
      <c r="AN10" s="164"/>
      <c r="AO10" s="164"/>
      <c r="AP10" s="164"/>
      <c r="AQ10" s="164"/>
      <c r="AR10" s="164"/>
      <c r="AS10" s="165"/>
      <c r="AT10" s="161"/>
      <c r="AU10" s="162"/>
      <c r="AV10" s="162"/>
      <c r="AW10" s="163"/>
      <c r="AX10" s="164"/>
      <c r="AY10" s="164"/>
      <c r="AZ10" s="164"/>
      <c r="BA10" s="164"/>
      <c r="BB10" s="164"/>
      <c r="BC10" s="165"/>
      <c r="BD10" s="166"/>
    </row>
    <row r="11" spans="1:193" ht="12.75" customHeight="1">
      <c r="A11" s="587" t="str">
        <f>'BANCO DADOS-CUSTO TOTAL'!C11</f>
        <v>Aracuai</v>
      </c>
      <c r="B11" s="588" t="str">
        <f>'BANCO DADOS-CUSTO TOTAL'!H11</f>
        <v>BELTRANO 12341</v>
      </c>
      <c r="C11" s="588" t="str">
        <f>'BANCO DADOS-CUSTO TOTAL'!I11</f>
        <v>VIGILANTE ARMADO - 220 H</v>
      </c>
      <c r="D11" s="172"/>
      <c r="E11" s="172"/>
      <c r="F11" s="167">
        <v>42370</v>
      </c>
      <c r="G11" s="167">
        <v>42399</v>
      </c>
      <c r="H11" s="168">
        <f>IF(C11="VIGILANTE ARMADO - 220 H",2035.8,IF(C11="VIGILANTE ARMADO - 12X36 DIURNO",1869.08,IF(C11="VIGILANTE ARMADO - 12X36 NOTURNO",2229.92)))</f>
        <v>2035.8</v>
      </c>
      <c r="I11" s="169">
        <f>'BANCO DADOS-CUSTO TOTAL'!Y11</f>
        <v>2287.0300000000002</v>
      </c>
      <c r="J11" s="170">
        <f>IF(OR(F11="",G11=""),0,DAYS360(F11,G11,TRUE)+1)</f>
        <v>30</v>
      </c>
      <c r="K11" s="170">
        <f>INT(J11/30)</f>
        <v>1</v>
      </c>
      <c r="L11" s="170">
        <f>J11-K11*30</f>
        <v>0</v>
      </c>
      <c r="M11" s="171">
        <f>$O$6*H11*K11+IF(L11&gt;14,H11*$O$6,0)</f>
        <v>169.58213999999998</v>
      </c>
      <c r="N11" s="171">
        <f>I11*K11*$O$6+IF(L11&gt;14,I11*$O$6,0)</f>
        <v>190.50959900000001</v>
      </c>
      <c r="O11" s="171">
        <f>N11-M11</f>
        <v>20.927459000000027</v>
      </c>
      <c r="P11" s="167">
        <f>F11</f>
        <v>42370</v>
      </c>
      <c r="Q11" s="167">
        <f>G11</f>
        <v>42399</v>
      </c>
      <c r="R11" s="168">
        <f>H11</f>
        <v>2035.8</v>
      </c>
      <c r="S11" s="169">
        <f>I11</f>
        <v>2287.0300000000002</v>
      </c>
      <c r="T11" s="170">
        <f>IF(OR(P11="",Q11=""),0,DAYS360(P11,Q11,TRUE)+1)</f>
        <v>30</v>
      </c>
      <c r="U11" s="170">
        <f t="shared" ref="U11" si="0">INT(T11/30)</f>
        <v>1</v>
      </c>
      <c r="V11" s="170">
        <f t="shared" ref="V11" si="1">T11-U11*30</f>
        <v>0</v>
      </c>
      <c r="W11" s="171">
        <f t="shared" ref="W11" si="2">$Y$6*R11*U11+IF(V11&gt;14,R11*$Y$6,0)</f>
        <v>226.17738</v>
      </c>
      <c r="X11" s="171">
        <f t="shared" ref="X11" si="3">S11*U11*$Y$6+IF(V11&gt;14,S11*$Y$6,0)</f>
        <v>254.08903300000003</v>
      </c>
      <c r="Y11" s="171">
        <f>X11-W11</f>
        <v>27.91165300000003</v>
      </c>
      <c r="Z11" s="167">
        <f>F11</f>
        <v>42370</v>
      </c>
      <c r="AA11" s="167">
        <f>G11</f>
        <v>42399</v>
      </c>
      <c r="AB11" s="168">
        <f>R11</f>
        <v>2035.8</v>
      </c>
      <c r="AC11" s="169">
        <f>S11</f>
        <v>2287.0300000000002</v>
      </c>
      <c r="AD11" s="170">
        <f>IF(OR(Z11="",AA11=""),0,DAYS360(Z11,AA11,TRUE)+1)</f>
        <v>30</v>
      </c>
      <c r="AE11" s="170">
        <f t="shared" ref="AE11" si="4">INT(AD11/30)</f>
        <v>1</v>
      </c>
      <c r="AF11" s="170">
        <f t="shared" ref="AF11" si="5">AD11-AE11*30</f>
        <v>0</v>
      </c>
      <c r="AG11" s="171">
        <f t="shared" ref="AG11" si="6">$AI$6*AB11*AE11+IF(AF11&gt;14,AB11*$AI$6,0)</f>
        <v>87.539399999999986</v>
      </c>
      <c r="AH11" s="171">
        <f t="shared" ref="AH11" si="7">AC11*AE11*$AI$6+IF(AF11&gt;14,AC11*$AI$6,0)</f>
        <v>98.342290000000006</v>
      </c>
      <c r="AI11" s="171">
        <f>AH11-AG11</f>
        <v>10.802890000000019</v>
      </c>
      <c r="AJ11" s="167">
        <f>F11</f>
        <v>42370</v>
      </c>
      <c r="AK11" s="167">
        <f>G11</f>
        <v>42399</v>
      </c>
      <c r="AL11" s="168">
        <f>AB11</f>
        <v>2035.8</v>
      </c>
      <c r="AM11" s="169">
        <f>AC11</f>
        <v>2287.0300000000002</v>
      </c>
      <c r="AN11" s="170">
        <f>IF(OR(AJ11="",AK11=""),0,DAYS360(AJ11,AK11,TRUE)+1)</f>
        <v>30</v>
      </c>
      <c r="AO11" s="170">
        <f t="shared" ref="AO11" si="8">INT(AN11/30)</f>
        <v>1</v>
      </c>
      <c r="AP11" s="170">
        <f t="shared" ref="AP11" si="9">AN11-AO11*30</f>
        <v>0</v>
      </c>
      <c r="AQ11" s="171">
        <f t="shared" ref="AQ11" si="10">$AS$6*AL11*AO11+IF(AP11&gt;14,AL11*$AS$6,0)</f>
        <v>62.406227519999995</v>
      </c>
      <c r="AR11" s="171">
        <f t="shared" ref="AR11" si="11">AM11*AO11*$AS$6+IF(AP11&gt;14,AM11*$AS$6,0)</f>
        <v>70.107532431999999</v>
      </c>
      <c r="AS11" s="171">
        <f>AR11-AQ11</f>
        <v>7.7013049120000048</v>
      </c>
      <c r="AT11" s="167">
        <f>F11</f>
        <v>42370</v>
      </c>
      <c r="AU11" s="167">
        <f>G11</f>
        <v>42399</v>
      </c>
      <c r="AV11" s="168">
        <f>AL11</f>
        <v>2035.8</v>
      </c>
      <c r="AW11" s="169">
        <f>AM11</f>
        <v>2287.0300000000002</v>
      </c>
      <c r="AX11" s="170">
        <f>IF(OR(AT11="",AU11=""),0,DAYS360(AT11,AU11,TRUE)+1)</f>
        <v>30</v>
      </c>
      <c r="AY11" s="170">
        <f t="shared" ref="AY11" si="12">INT(AX11/30)</f>
        <v>1</v>
      </c>
      <c r="AZ11" s="170">
        <f t="shared" ref="AZ11" si="13">AX11-AY11*30</f>
        <v>0</v>
      </c>
      <c r="BA11" s="171">
        <f t="shared" ref="BA11" si="14">$BC$6*AV11*AY11+IF(AZ11&gt;14,AV11*$BC$6,0)</f>
        <v>83.23327583999999</v>
      </c>
      <c r="BB11" s="171">
        <f t="shared" ref="BB11" si="15">AW11*AY11*$BC$6+IF(AZ11&gt;14,AW11*$BC$6,0)</f>
        <v>93.504764144000006</v>
      </c>
      <c r="BC11" s="171">
        <f>BB11-BA11</f>
        <v>10.271488304000016</v>
      </c>
      <c r="BD11" s="171">
        <f>BC11+AS11+AI11+Y11+O11</f>
        <v>77.61479521600009</v>
      </c>
    </row>
    <row r="12" spans="1:193" s="153" customFormat="1">
      <c r="A12" s="587" t="str">
        <f>'BANCO DADOS-CUSTO TOTAL'!C13</f>
        <v>Araguari</v>
      </c>
      <c r="B12" s="588" t="str">
        <f>'BANCO DADOS-CUSTO TOTAL'!H13</f>
        <v>BELTRANO 12342</v>
      </c>
      <c r="C12" s="588" t="str">
        <f>'BANCO DADOS-CUSTO TOTAL'!I13</f>
        <v>VIGILANTE ARMADO - 220 H</v>
      </c>
      <c r="D12" s="172"/>
      <c r="E12" s="172"/>
      <c r="F12" s="167">
        <v>42370</v>
      </c>
      <c r="G12" s="167">
        <v>42399</v>
      </c>
      <c r="H12" s="168">
        <f t="shared" ref="H12:H67" si="16">IF(C12="VIGILANTE ARMADO - 220 H",2035.8,IF(C12="VIGILANTE ARMADO - 12X36 DIURNO",1869.08,IF(C12="VIGILANTE ARMADO - 12X36 NOTURNO",2229.92)))</f>
        <v>2035.8</v>
      </c>
      <c r="I12" s="169">
        <f>'BANCO DADOS-CUSTO TOTAL'!Y13</f>
        <v>2287.0300000000002</v>
      </c>
      <c r="J12" s="170">
        <f t="shared" ref="J12:J67" si="17">IF(OR(F12="",G12=""),0,DAYS360(F12,G12,TRUE)+1)</f>
        <v>30</v>
      </c>
      <c r="K12" s="170">
        <f t="shared" ref="K12:K67" si="18">INT(J12/30)</f>
        <v>1</v>
      </c>
      <c r="L12" s="170">
        <f t="shared" ref="L12:L67" si="19">J12-K12*30</f>
        <v>0</v>
      </c>
      <c r="M12" s="171">
        <f t="shared" ref="M12:M67" si="20">$O$6*H12*K12+IF(L12&gt;14,H12*$O$6,0)</f>
        <v>169.58213999999998</v>
      </c>
      <c r="N12" s="171">
        <f t="shared" ref="N12:N67" si="21">I12*K12*$O$6+IF(L12&gt;14,I12*$O$6,0)</f>
        <v>190.50959900000001</v>
      </c>
      <c r="O12" s="171">
        <f t="shared" ref="O12:O67" si="22">N12-M12</f>
        <v>20.927459000000027</v>
      </c>
      <c r="P12" s="167">
        <f t="shared" ref="P12:P75" si="23">F12</f>
        <v>42370</v>
      </c>
      <c r="Q12" s="167">
        <f t="shared" ref="Q12:Q75" si="24">G12</f>
        <v>42399</v>
      </c>
      <c r="R12" s="168">
        <f t="shared" ref="R12:R67" si="25">H12</f>
        <v>2035.8</v>
      </c>
      <c r="S12" s="169">
        <f t="shared" ref="S12:S67" si="26">I12</f>
        <v>2287.0300000000002</v>
      </c>
      <c r="T12" s="170">
        <f t="shared" ref="T12:T67" si="27">IF(OR(P12="",Q12=""),0,DAYS360(P12,Q12,TRUE)+1)</f>
        <v>30</v>
      </c>
      <c r="U12" s="170">
        <f t="shared" ref="U12:U67" si="28">INT(T12/30)</f>
        <v>1</v>
      </c>
      <c r="V12" s="170">
        <f t="shared" ref="V12:V67" si="29">T12-U12*30</f>
        <v>0</v>
      </c>
      <c r="W12" s="171">
        <f t="shared" ref="W12:W67" si="30">$Y$6*R12*U12+IF(V12&gt;14,R12*$Y$6,0)</f>
        <v>226.17738</v>
      </c>
      <c r="X12" s="171">
        <f t="shared" ref="X12:X67" si="31">S12*U12*$Y$6+IF(V12&gt;14,S12*$Y$6,0)</f>
        <v>254.08903300000003</v>
      </c>
      <c r="Y12" s="171">
        <f t="shared" ref="Y12:Y67" si="32">X12-W12</f>
        <v>27.91165300000003</v>
      </c>
      <c r="Z12" s="167">
        <f t="shared" ref="Z12:Z75" si="33">F12</f>
        <v>42370</v>
      </c>
      <c r="AA12" s="167">
        <f t="shared" ref="AA12:AA75" si="34">G12</f>
        <v>42399</v>
      </c>
      <c r="AB12" s="168">
        <f t="shared" ref="AB12:AB67" si="35">R12</f>
        <v>2035.8</v>
      </c>
      <c r="AC12" s="169">
        <f t="shared" ref="AC12:AC67" si="36">S12</f>
        <v>2287.0300000000002</v>
      </c>
      <c r="AD12" s="170">
        <f t="shared" ref="AD12:AD67" si="37">IF(OR(Z12="",AA12=""),0,DAYS360(Z12,AA12,TRUE)+1)</f>
        <v>30</v>
      </c>
      <c r="AE12" s="170">
        <f t="shared" ref="AE12:AE67" si="38">INT(AD12/30)</f>
        <v>1</v>
      </c>
      <c r="AF12" s="170">
        <f t="shared" ref="AF12:AF67" si="39">AD12-AE12*30</f>
        <v>0</v>
      </c>
      <c r="AG12" s="171">
        <f t="shared" ref="AG12:AG67" si="40">$AI$6*AB12*AE12+IF(AF12&gt;14,AB12*$AI$6,0)</f>
        <v>87.539399999999986</v>
      </c>
      <c r="AH12" s="171">
        <f t="shared" ref="AH12:AH67" si="41">AC12*AE12*$AI$6+IF(AF12&gt;14,AC12*$AI$6,0)</f>
        <v>98.342290000000006</v>
      </c>
      <c r="AI12" s="171">
        <f t="shared" ref="AI12:AI67" si="42">AH12-AG12</f>
        <v>10.802890000000019</v>
      </c>
      <c r="AJ12" s="167">
        <f t="shared" ref="AJ12:AJ75" si="43">F12</f>
        <v>42370</v>
      </c>
      <c r="AK12" s="167">
        <f t="shared" ref="AK12:AK75" si="44">G12</f>
        <v>42399</v>
      </c>
      <c r="AL12" s="168">
        <f t="shared" ref="AL12:AL67" si="45">AB12</f>
        <v>2035.8</v>
      </c>
      <c r="AM12" s="169">
        <f t="shared" ref="AM12:AM67" si="46">AC12</f>
        <v>2287.0300000000002</v>
      </c>
      <c r="AN12" s="170">
        <f t="shared" ref="AN12:AN67" si="47">IF(OR(AJ12="",AK12=""),0,DAYS360(AJ12,AK12,TRUE)+1)</f>
        <v>30</v>
      </c>
      <c r="AO12" s="170">
        <f t="shared" ref="AO12:AO67" si="48">INT(AN12/30)</f>
        <v>1</v>
      </c>
      <c r="AP12" s="170">
        <f t="shared" ref="AP12:AP67" si="49">AN12-AO12*30</f>
        <v>0</v>
      </c>
      <c r="AQ12" s="171">
        <f t="shared" ref="AQ12:AQ67" si="50">$AS$6*AL12*AO12+IF(AP12&gt;14,AL12*$AS$6,0)</f>
        <v>62.406227519999995</v>
      </c>
      <c r="AR12" s="171">
        <f t="shared" ref="AR12:AR67" si="51">AM12*AO12*$AS$6+IF(AP12&gt;14,AM12*$AS$6,0)</f>
        <v>70.107532431999999</v>
      </c>
      <c r="AS12" s="171">
        <f t="shared" ref="AS12:AS67" si="52">AR12-AQ12</f>
        <v>7.7013049120000048</v>
      </c>
      <c r="AT12" s="167">
        <f t="shared" ref="AT12:AT75" si="53">F12</f>
        <v>42370</v>
      </c>
      <c r="AU12" s="167">
        <f t="shared" ref="AU12:AU75" si="54">G12</f>
        <v>42399</v>
      </c>
      <c r="AV12" s="168">
        <f t="shared" ref="AV12:AV67" si="55">AL12</f>
        <v>2035.8</v>
      </c>
      <c r="AW12" s="169">
        <f t="shared" ref="AW12:AW67" si="56">AM12</f>
        <v>2287.0300000000002</v>
      </c>
      <c r="AX12" s="170">
        <f t="shared" ref="AX12:AX67" si="57">IF(OR(AT12="",AU12=""),0,DAYS360(AT12,AU12,TRUE)+1)</f>
        <v>30</v>
      </c>
      <c r="AY12" s="170">
        <f t="shared" ref="AY12:AY67" si="58">INT(AX12/30)</f>
        <v>1</v>
      </c>
      <c r="AZ12" s="170">
        <f t="shared" ref="AZ12:AZ67" si="59">AX12-AY12*30</f>
        <v>0</v>
      </c>
      <c r="BA12" s="171">
        <f t="shared" ref="BA12:BA67" si="60">$BC$6*AV12*AY12+IF(AZ12&gt;14,AV12*$BC$6,0)</f>
        <v>83.23327583999999</v>
      </c>
      <c r="BB12" s="171">
        <f t="shared" ref="BB12:BB67" si="61">AW12*AY12*$BC$6+IF(AZ12&gt;14,AW12*$BC$6,0)</f>
        <v>93.504764144000006</v>
      </c>
      <c r="BC12" s="171">
        <f t="shared" ref="BC12:BC67" si="62">BB12-BA12</f>
        <v>10.271488304000016</v>
      </c>
      <c r="BD12" s="171">
        <f t="shared" ref="BD12:BD67" si="63">BC12+AS12+AI12+Y12+O12</f>
        <v>77.61479521600009</v>
      </c>
    </row>
    <row r="13" spans="1:193">
      <c r="A13" s="587" t="str">
        <f>'BANCO DADOS-CUSTO TOTAL'!C15</f>
        <v>Barbacena</v>
      </c>
      <c r="B13" s="588" t="str">
        <f>'BANCO DADOS-CUSTO TOTAL'!H15</f>
        <v>BELTRANO 12343</v>
      </c>
      <c r="C13" s="588" t="str">
        <f>'BANCO DADOS-CUSTO TOTAL'!I15</f>
        <v>VIGILANTE ARMADO - 220 H</v>
      </c>
      <c r="D13" s="172"/>
      <c r="E13" s="172"/>
      <c r="F13" s="167">
        <v>42370</v>
      </c>
      <c r="G13" s="167">
        <v>42399</v>
      </c>
      <c r="H13" s="168">
        <f t="shared" si="16"/>
        <v>2035.8</v>
      </c>
      <c r="I13" s="169">
        <f>'BANCO DADOS-CUSTO TOTAL'!Y15</f>
        <v>2287.0300000000002</v>
      </c>
      <c r="J13" s="170">
        <f t="shared" si="17"/>
        <v>30</v>
      </c>
      <c r="K13" s="170">
        <f t="shared" si="18"/>
        <v>1</v>
      </c>
      <c r="L13" s="170">
        <f t="shared" si="19"/>
        <v>0</v>
      </c>
      <c r="M13" s="171">
        <f t="shared" si="20"/>
        <v>169.58213999999998</v>
      </c>
      <c r="N13" s="171">
        <f t="shared" si="21"/>
        <v>190.50959900000001</v>
      </c>
      <c r="O13" s="171">
        <f t="shared" si="22"/>
        <v>20.927459000000027</v>
      </c>
      <c r="P13" s="167">
        <f t="shared" si="23"/>
        <v>42370</v>
      </c>
      <c r="Q13" s="167">
        <f t="shared" si="24"/>
        <v>42399</v>
      </c>
      <c r="R13" s="168">
        <f t="shared" si="25"/>
        <v>2035.8</v>
      </c>
      <c r="S13" s="169">
        <f t="shared" si="26"/>
        <v>2287.0300000000002</v>
      </c>
      <c r="T13" s="170">
        <f t="shared" si="27"/>
        <v>30</v>
      </c>
      <c r="U13" s="170">
        <f t="shared" si="28"/>
        <v>1</v>
      </c>
      <c r="V13" s="170">
        <f t="shared" si="29"/>
        <v>0</v>
      </c>
      <c r="W13" s="171">
        <f t="shared" si="30"/>
        <v>226.17738</v>
      </c>
      <c r="X13" s="171">
        <f t="shared" si="31"/>
        <v>254.08903300000003</v>
      </c>
      <c r="Y13" s="171">
        <f t="shared" si="32"/>
        <v>27.91165300000003</v>
      </c>
      <c r="Z13" s="167">
        <f t="shared" si="33"/>
        <v>42370</v>
      </c>
      <c r="AA13" s="167">
        <f t="shared" si="34"/>
        <v>42399</v>
      </c>
      <c r="AB13" s="168">
        <f t="shared" si="35"/>
        <v>2035.8</v>
      </c>
      <c r="AC13" s="169">
        <f t="shared" si="36"/>
        <v>2287.0300000000002</v>
      </c>
      <c r="AD13" s="170">
        <f t="shared" si="37"/>
        <v>30</v>
      </c>
      <c r="AE13" s="170">
        <f t="shared" si="38"/>
        <v>1</v>
      </c>
      <c r="AF13" s="170">
        <f t="shared" si="39"/>
        <v>0</v>
      </c>
      <c r="AG13" s="171">
        <f t="shared" si="40"/>
        <v>87.539399999999986</v>
      </c>
      <c r="AH13" s="171">
        <f t="shared" si="41"/>
        <v>98.342290000000006</v>
      </c>
      <c r="AI13" s="171">
        <f t="shared" si="42"/>
        <v>10.802890000000019</v>
      </c>
      <c r="AJ13" s="167">
        <f t="shared" si="43"/>
        <v>42370</v>
      </c>
      <c r="AK13" s="167">
        <f t="shared" si="44"/>
        <v>42399</v>
      </c>
      <c r="AL13" s="168">
        <f t="shared" si="45"/>
        <v>2035.8</v>
      </c>
      <c r="AM13" s="169">
        <f t="shared" si="46"/>
        <v>2287.0300000000002</v>
      </c>
      <c r="AN13" s="170">
        <f t="shared" si="47"/>
        <v>30</v>
      </c>
      <c r="AO13" s="170">
        <f t="shared" si="48"/>
        <v>1</v>
      </c>
      <c r="AP13" s="170">
        <f t="shared" si="49"/>
        <v>0</v>
      </c>
      <c r="AQ13" s="171">
        <f t="shared" si="50"/>
        <v>62.406227519999995</v>
      </c>
      <c r="AR13" s="171">
        <f t="shared" si="51"/>
        <v>70.107532431999999</v>
      </c>
      <c r="AS13" s="171">
        <f t="shared" si="52"/>
        <v>7.7013049120000048</v>
      </c>
      <c r="AT13" s="167">
        <f t="shared" si="53"/>
        <v>42370</v>
      </c>
      <c r="AU13" s="167">
        <f t="shared" si="54"/>
        <v>42399</v>
      </c>
      <c r="AV13" s="168">
        <f t="shared" si="55"/>
        <v>2035.8</v>
      </c>
      <c r="AW13" s="169">
        <f t="shared" si="56"/>
        <v>2287.0300000000002</v>
      </c>
      <c r="AX13" s="170">
        <f t="shared" si="57"/>
        <v>30</v>
      </c>
      <c r="AY13" s="170">
        <f t="shared" si="58"/>
        <v>1</v>
      </c>
      <c r="AZ13" s="170">
        <f t="shared" si="59"/>
        <v>0</v>
      </c>
      <c r="BA13" s="171">
        <f t="shared" si="60"/>
        <v>83.23327583999999</v>
      </c>
      <c r="BB13" s="171">
        <f t="shared" si="61"/>
        <v>93.504764144000006</v>
      </c>
      <c r="BC13" s="171">
        <f t="shared" si="62"/>
        <v>10.271488304000016</v>
      </c>
      <c r="BD13" s="171">
        <f t="shared" si="63"/>
        <v>77.61479521600009</v>
      </c>
    </row>
    <row r="14" spans="1:193">
      <c r="A14" s="587" t="str">
        <f>'BANCO DADOS-CUSTO TOTAL'!C17</f>
        <v>Belo Horizonte</v>
      </c>
      <c r="B14" s="588" t="str">
        <f>'BANCO DADOS-CUSTO TOTAL'!H17</f>
        <v>BELTRANO 12344</v>
      </c>
      <c r="C14" s="588" t="str">
        <f>'BANCO DADOS-CUSTO TOTAL'!I17</f>
        <v>VIGILANTE ARMADO - 220 H</v>
      </c>
      <c r="D14" s="172"/>
      <c r="E14" s="172"/>
      <c r="F14" s="167">
        <v>42370</v>
      </c>
      <c r="G14" s="167">
        <v>42399</v>
      </c>
      <c r="H14" s="168">
        <f t="shared" si="16"/>
        <v>2035.8</v>
      </c>
      <c r="I14" s="169">
        <f>'BANCO DADOS-CUSTO TOTAL'!Y17</f>
        <v>2287.0300000000002</v>
      </c>
      <c r="J14" s="170">
        <f t="shared" si="17"/>
        <v>30</v>
      </c>
      <c r="K14" s="170">
        <f t="shared" si="18"/>
        <v>1</v>
      </c>
      <c r="L14" s="170">
        <f t="shared" si="19"/>
        <v>0</v>
      </c>
      <c r="M14" s="171">
        <f t="shared" si="20"/>
        <v>169.58213999999998</v>
      </c>
      <c r="N14" s="171">
        <f t="shared" si="21"/>
        <v>190.50959900000001</v>
      </c>
      <c r="O14" s="171">
        <f t="shared" si="22"/>
        <v>20.927459000000027</v>
      </c>
      <c r="P14" s="167">
        <f t="shared" si="23"/>
        <v>42370</v>
      </c>
      <c r="Q14" s="167">
        <f t="shared" si="24"/>
        <v>42399</v>
      </c>
      <c r="R14" s="168">
        <f t="shared" si="25"/>
        <v>2035.8</v>
      </c>
      <c r="S14" s="169">
        <f t="shared" si="26"/>
        <v>2287.0300000000002</v>
      </c>
      <c r="T14" s="170">
        <f t="shared" si="27"/>
        <v>30</v>
      </c>
      <c r="U14" s="170">
        <f t="shared" si="28"/>
        <v>1</v>
      </c>
      <c r="V14" s="170">
        <f t="shared" si="29"/>
        <v>0</v>
      </c>
      <c r="W14" s="171">
        <f t="shared" si="30"/>
        <v>226.17738</v>
      </c>
      <c r="X14" s="171">
        <f t="shared" si="31"/>
        <v>254.08903300000003</v>
      </c>
      <c r="Y14" s="171">
        <f t="shared" si="32"/>
        <v>27.91165300000003</v>
      </c>
      <c r="Z14" s="167">
        <f t="shared" si="33"/>
        <v>42370</v>
      </c>
      <c r="AA14" s="167">
        <f t="shared" si="34"/>
        <v>42399</v>
      </c>
      <c r="AB14" s="168">
        <f t="shared" si="35"/>
        <v>2035.8</v>
      </c>
      <c r="AC14" s="169">
        <f t="shared" si="36"/>
        <v>2287.0300000000002</v>
      </c>
      <c r="AD14" s="170">
        <f t="shared" si="37"/>
        <v>30</v>
      </c>
      <c r="AE14" s="170">
        <f t="shared" si="38"/>
        <v>1</v>
      </c>
      <c r="AF14" s="170">
        <f t="shared" si="39"/>
        <v>0</v>
      </c>
      <c r="AG14" s="171">
        <f t="shared" si="40"/>
        <v>87.539399999999986</v>
      </c>
      <c r="AH14" s="171">
        <f t="shared" si="41"/>
        <v>98.342290000000006</v>
      </c>
      <c r="AI14" s="171">
        <f t="shared" si="42"/>
        <v>10.802890000000019</v>
      </c>
      <c r="AJ14" s="167">
        <f t="shared" si="43"/>
        <v>42370</v>
      </c>
      <c r="AK14" s="167">
        <f t="shared" si="44"/>
        <v>42399</v>
      </c>
      <c r="AL14" s="168">
        <f t="shared" si="45"/>
        <v>2035.8</v>
      </c>
      <c r="AM14" s="169">
        <f t="shared" si="46"/>
        <v>2287.0300000000002</v>
      </c>
      <c r="AN14" s="170">
        <f t="shared" si="47"/>
        <v>30</v>
      </c>
      <c r="AO14" s="170">
        <f t="shared" si="48"/>
        <v>1</v>
      </c>
      <c r="AP14" s="170">
        <f t="shared" si="49"/>
        <v>0</v>
      </c>
      <c r="AQ14" s="171">
        <f t="shared" si="50"/>
        <v>62.406227519999995</v>
      </c>
      <c r="AR14" s="171">
        <f t="shared" si="51"/>
        <v>70.107532431999999</v>
      </c>
      <c r="AS14" s="171">
        <f t="shared" si="52"/>
        <v>7.7013049120000048</v>
      </c>
      <c r="AT14" s="167">
        <f t="shared" si="53"/>
        <v>42370</v>
      </c>
      <c r="AU14" s="167">
        <f t="shared" si="54"/>
        <v>42399</v>
      </c>
      <c r="AV14" s="168">
        <f t="shared" si="55"/>
        <v>2035.8</v>
      </c>
      <c r="AW14" s="169">
        <f t="shared" si="56"/>
        <v>2287.0300000000002</v>
      </c>
      <c r="AX14" s="170">
        <f t="shared" si="57"/>
        <v>30</v>
      </c>
      <c r="AY14" s="170">
        <f t="shared" si="58"/>
        <v>1</v>
      </c>
      <c r="AZ14" s="170">
        <f t="shared" si="59"/>
        <v>0</v>
      </c>
      <c r="BA14" s="171">
        <f t="shared" si="60"/>
        <v>83.23327583999999</v>
      </c>
      <c r="BB14" s="171">
        <f t="shared" si="61"/>
        <v>93.504764144000006</v>
      </c>
      <c r="BC14" s="171">
        <f t="shared" si="62"/>
        <v>10.271488304000016</v>
      </c>
      <c r="BD14" s="171">
        <f t="shared" si="63"/>
        <v>77.61479521600009</v>
      </c>
    </row>
    <row r="15" spans="1:193">
      <c r="A15" s="587" t="str">
        <f>'BANCO DADOS-CUSTO TOTAL'!C18</f>
        <v>Belo Horizonte</v>
      </c>
      <c r="B15" s="588" t="str">
        <f>'BANCO DADOS-CUSTO TOTAL'!H18</f>
        <v>BELTRANO 12345</v>
      </c>
      <c r="C15" s="588" t="str">
        <f>'BANCO DADOS-CUSTO TOTAL'!I18</f>
        <v>VIGILANTE ARMADO - 220 H</v>
      </c>
      <c r="D15" s="172"/>
      <c r="E15" s="172"/>
      <c r="F15" s="167">
        <v>42370</v>
      </c>
      <c r="G15" s="167">
        <v>42399</v>
      </c>
      <c r="H15" s="168">
        <f t="shared" si="16"/>
        <v>2035.8</v>
      </c>
      <c r="I15" s="169">
        <f>'BANCO DADOS-CUSTO TOTAL'!Y18</f>
        <v>2287.0300000000002</v>
      </c>
      <c r="J15" s="170">
        <f t="shared" si="17"/>
        <v>30</v>
      </c>
      <c r="K15" s="170">
        <f t="shared" si="18"/>
        <v>1</v>
      </c>
      <c r="L15" s="170">
        <f t="shared" si="19"/>
        <v>0</v>
      </c>
      <c r="M15" s="171">
        <f t="shared" si="20"/>
        <v>169.58213999999998</v>
      </c>
      <c r="N15" s="171">
        <f t="shared" si="21"/>
        <v>190.50959900000001</v>
      </c>
      <c r="O15" s="171">
        <f t="shared" si="22"/>
        <v>20.927459000000027</v>
      </c>
      <c r="P15" s="167">
        <f t="shared" si="23"/>
        <v>42370</v>
      </c>
      <c r="Q15" s="167">
        <f t="shared" si="24"/>
        <v>42399</v>
      </c>
      <c r="R15" s="168">
        <f t="shared" si="25"/>
        <v>2035.8</v>
      </c>
      <c r="S15" s="169">
        <f t="shared" si="26"/>
        <v>2287.0300000000002</v>
      </c>
      <c r="T15" s="170">
        <f t="shared" si="27"/>
        <v>30</v>
      </c>
      <c r="U15" s="170">
        <f t="shared" si="28"/>
        <v>1</v>
      </c>
      <c r="V15" s="170">
        <f t="shared" si="29"/>
        <v>0</v>
      </c>
      <c r="W15" s="171">
        <f t="shared" si="30"/>
        <v>226.17738</v>
      </c>
      <c r="X15" s="171">
        <f t="shared" si="31"/>
        <v>254.08903300000003</v>
      </c>
      <c r="Y15" s="171">
        <f t="shared" si="32"/>
        <v>27.91165300000003</v>
      </c>
      <c r="Z15" s="167">
        <f t="shared" si="33"/>
        <v>42370</v>
      </c>
      <c r="AA15" s="167">
        <f t="shared" si="34"/>
        <v>42399</v>
      </c>
      <c r="AB15" s="168">
        <f t="shared" si="35"/>
        <v>2035.8</v>
      </c>
      <c r="AC15" s="169">
        <f t="shared" si="36"/>
        <v>2287.0300000000002</v>
      </c>
      <c r="AD15" s="170">
        <f t="shared" si="37"/>
        <v>30</v>
      </c>
      <c r="AE15" s="170">
        <f t="shared" si="38"/>
        <v>1</v>
      </c>
      <c r="AF15" s="170">
        <f t="shared" si="39"/>
        <v>0</v>
      </c>
      <c r="AG15" s="171">
        <f t="shared" si="40"/>
        <v>87.539399999999986</v>
      </c>
      <c r="AH15" s="171">
        <f t="shared" si="41"/>
        <v>98.342290000000006</v>
      </c>
      <c r="AI15" s="171">
        <f t="shared" si="42"/>
        <v>10.802890000000019</v>
      </c>
      <c r="AJ15" s="167">
        <f t="shared" si="43"/>
        <v>42370</v>
      </c>
      <c r="AK15" s="167">
        <f t="shared" si="44"/>
        <v>42399</v>
      </c>
      <c r="AL15" s="168">
        <f t="shared" si="45"/>
        <v>2035.8</v>
      </c>
      <c r="AM15" s="169">
        <f t="shared" si="46"/>
        <v>2287.0300000000002</v>
      </c>
      <c r="AN15" s="170">
        <f t="shared" si="47"/>
        <v>30</v>
      </c>
      <c r="AO15" s="170">
        <f t="shared" si="48"/>
        <v>1</v>
      </c>
      <c r="AP15" s="170">
        <f t="shared" si="49"/>
        <v>0</v>
      </c>
      <c r="AQ15" s="171">
        <f t="shared" si="50"/>
        <v>62.406227519999995</v>
      </c>
      <c r="AR15" s="171">
        <f t="shared" si="51"/>
        <v>70.107532431999999</v>
      </c>
      <c r="AS15" s="171">
        <f t="shared" si="52"/>
        <v>7.7013049120000048</v>
      </c>
      <c r="AT15" s="167">
        <f t="shared" si="53"/>
        <v>42370</v>
      </c>
      <c r="AU15" s="167">
        <f t="shared" si="54"/>
        <v>42399</v>
      </c>
      <c r="AV15" s="168">
        <f t="shared" si="55"/>
        <v>2035.8</v>
      </c>
      <c r="AW15" s="169">
        <f t="shared" si="56"/>
        <v>2287.0300000000002</v>
      </c>
      <c r="AX15" s="170">
        <f t="shared" si="57"/>
        <v>30</v>
      </c>
      <c r="AY15" s="170">
        <f t="shared" si="58"/>
        <v>1</v>
      </c>
      <c r="AZ15" s="170">
        <f t="shared" si="59"/>
        <v>0</v>
      </c>
      <c r="BA15" s="171">
        <f t="shared" si="60"/>
        <v>83.23327583999999</v>
      </c>
      <c r="BB15" s="171">
        <f t="shared" si="61"/>
        <v>93.504764144000006</v>
      </c>
      <c r="BC15" s="171">
        <f t="shared" si="62"/>
        <v>10.271488304000016</v>
      </c>
      <c r="BD15" s="171">
        <f t="shared" si="63"/>
        <v>77.61479521600009</v>
      </c>
    </row>
    <row r="16" spans="1:193">
      <c r="A16" s="587" t="str">
        <f>'BANCO DADOS-CUSTO TOTAL'!C19</f>
        <v>Belo Horizonte</v>
      </c>
      <c r="B16" s="588" t="str">
        <f>'BANCO DADOS-CUSTO TOTAL'!H19</f>
        <v>BELTRANO 12346</v>
      </c>
      <c r="C16" s="588" t="str">
        <f>'BANCO DADOS-CUSTO TOTAL'!I19</f>
        <v>VIGILANTE ARMADO - 220 H</v>
      </c>
      <c r="D16" s="172"/>
      <c r="E16" s="172"/>
      <c r="F16" s="167">
        <v>42370</v>
      </c>
      <c r="G16" s="167">
        <v>42399</v>
      </c>
      <c r="H16" s="168">
        <f t="shared" si="16"/>
        <v>2035.8</v>
      </c>
      <c r="I16" s="169">
        <f>'BANCO DADOS-CUSTO TOTAL'!Y19</f>
        <v>2287.0300000000002</v>
      </c>
      <c r="J16" s="170">
        <f t="shared" si="17"/>
        <v>30</v>
      </c>
      <c r="K16" s="170">
        <f t="shared" si="18"/>
        <v>1</v>
      </c>
      <c r="L16" s="170">
        <f t="shared" si="19"/>
        <v>0</v>
      </c>
      <c r="M16" s="171">
        <f t="shared" si="20"/>
        <v>169.58213999999998</v>
      </c>
      <c r="N16" s="171">
        <f t="shared" si="21"/>
        <v>190.50959900000001</v>
      </c>
      <c r="O16" s="171">
        <f t="shared" si="22"/>
        <v>20.927459000000027</v>
      </c>
      <c r="P16" s="167">
        <f t="shared" si="23"/>
        <v>42370</v>
      </c>
      <c r="Q16" s="167">
        <f t="shared" si="24"/>
        <v>42399</v>
      </c>
      <c r="R16" s="168">
        <f t="shared" si="25"/>
        <v>2035.8</v>
      </c>
      <c r="S16" s="169">
        <f t="shared" si="26"/>
        <v>2287.0300000000002</v>
      </c>
      <c r="T16" s="170">
        <f t="shared" si="27"/>
        <v>30</v>
      </c>
      <c r="U16" s="170">
        <f t="shared" si="28"/>
        <v>1</v>
      </c>
      <c r="V16" s="170">
        <f t="shared" si="29"/>
        <v>0</v>
      </c>
      <c r="W16" s="171">
        <f t="shared" si="30"/>
        <v>226.17738</v>
      </c>
      <c r="X16" s="171">
        <f t="shared" si="31"/>
        <v>254.08903300000003</v>
      </c>
      <c r="Y16" s="171">
        <f t="shared" si="32"/>
        <v>27.91165300000003</v>
      </c>
      <c r="Z16" s="167">
        <f t="shared" si="33"/>
        <v>42370</v>
      </c>
      <c r="AA16" s="167">
        <f t="shared" si="34"/>
        <v>42399</v>
      </c>
      <c r="AB16" s="168">
        <f t="shared" si="35"/>
        <v>2035.8</v>
      </c>
      <c r="AC16" s="169">
        <f t="shared" si="36"/>
        <v>2287.0300000000002</v>
      </c>
      <c r="AD16" s="170">
        <f t="shared" si="37"/>
        <v>30</v>
      </c>
      <c r="AE16" s="170">
        <f t="shared" si="38"/>
        <v>1</v>
      </c>
      <c r="AF16" s="170">
        <f t="shared" si="39"/>
        <v>0</v>
      </c>
      <c r="AG16" s="171">
        <f t="shared" si="40"/>
        <v>87.539399999999986</v>
      </c>
      <c r="AH16" s="171">
        <f t="shared" si="41"/>
        <v>98.342290000000006</v>
      </c>
      <c r="AI16" s="171">
        <f t="shared" si="42"/>
        <v>10.802890000000019</v>
      </c>
      <c r="AJ16" s="167">
        <f t="shared" si="43"/>
        <v>42370</v>
      </c>
      <c r="AK16" s="167">
        <f t="shared" si="44"/>
        <v>42399</v>
      </c>
      <c r="AL16" s="168">
        <f t="shared" si="45"/>
        <v>2035.8</v>
      </c>
      <c r="AM16" s="169">
        <f t="shared" si="46"/>
        <v>2287.0300000000002</v>
      </c>
      <c r="AN16" s="170">
        <f t="shared" si="47"/>
        <v>30</v>
      </c>
      <c r="AO16" s="170">
        <f t="shared" si="48"/>
        <v>1</v>
      </c>
      <c r="AP16" s="170">
        <f t="shared" si="49"/>
        <v>0</v>
      </c>
      <c r="AQ16" s="171">
        <f t="shared" si="50"/>
        <v>62.406227519999995</v>
      </c>
      <c r="AR16" s="171">
        <f t="shared" si="51"/>
        <v>70.107532431999999</v>
      </c>
      <c r="AS16" s="171">
        <f t="shared" si="52"/>
        <v>7.7013049120000048</v>
      </c>
      <c r="AT16" s="167">
        <f t="shared" si="53"/>
        <v>42370</v>
      </c>
      <c r="AU16" s="167">
        <f t="shared" si="54"/>
        <v>42399</v>
      </c>
      <c r="AV16" s="168">
        <f t="shared" si="55"/>
        <v>2035.8</v>
      </c>
      <c r="AW16" s="169">
        <f t="shared" si="56"/>
        <v>2287.0300000000002</v>
      </c>
      <c r="AX16" s="170">
        <f t="shared" si="57"/>
        <v>30</v>
      </c>
      <c r="AY16" s="170">
        <f t="shared" si="58"/>
        <v>1</v>
      </c>
      <c r="AZ16" s="170">
        <f t="shared" si="59"/>
        <v>0</v>
      </c>
      <c r="BA16" s="171">
        <f t="shared" si="60"/>
        <v>83.23327583999999</v>
      </c>
      <c r="BB16" s="171">
        <f t="shared" si="61"/>
        <v>93.504764144000006</v>
      </c>
      <c r="BC16" s="171">
        <f t="shared" si="62"/>
        <v>10.271488304000016</v>
      </c>
      <c r="BD16" s="171">
        <f t="shared" si="63"/>
        <v>77.61479521600009</v>
      </c>
      <c r="BT16" s="173"/>
      <c r="BU16" s="173"/>
      <c r="BV16" s="173"/>
      <c r="BW16" s="173"/>
      <c r="BX16" s="173"/>
      <c r="BY16" s="173"/>
      <c r="BZ16" s="173"/>
      <c r="CA16" s="173"/>
      <c r="CB16" s="173"/>
      <c r="CC16" s="173"/>
      <c r="CD16" s="173"/>
      <c r="CE16" s="173"/>
      <c r="CF16" s="173"/>
      <c r="CG16" s="173"/>
      <c r="CH16" s="173"/>
      <c r="CI16" s="173"/>
      <c r="CJ16" s="173"/>
      <c r="CK16" s="173"/>
      <c r="CL16" s="173"/>
      <c r="CM16" s="173"/>
      <c r="CN16" s="173"/>
      <c r="CO16" s="173"/>
      <c r="CP16" s="173"/>
      <c r="CQ16" s="173"/>
      <c r="CR16" s="173"/>
      <c r="CS16" s="173"/>
      <c r="CT16" s="173"/>
      <c r="CU16" s="173"/>
      <c r="CV16" s="173"/>
      <c r="CW16" s="173"/>
      <c r="CX16" s="173"/>
      <c r="CY16" s="173"/>
      <c r="CZ16" s="173"/>
      <c r="DA16" s="173"/>
      <c r="DB16" s="173"/>
      <c r="DC16" s="173"/>
      <c r="DD16" s="173"/>
      <c r="DE16" s="173"/>
      <c r="DF16" s="173"/>
      <c r="DG16" s="173"/>
      <c r="DH16" s="173"/>
      <c r="DI16" s="173"/>
      <c r="DJ16" s="173"/>
      <c r="DK16" s="173"/>
      <c r="DL16" s="173"/>
      <c r="DM16" s="173"/>
      <c r="DN16" s="173"/>
      <c r="DO16" s="173"/>
      <c r="DP16" s="173"/>
      <c r="DQ16" s="173"/>
      <c r="DR16" s="173"/>
      <c r="DS16" s="173"/>
      <c r="DT16" s="173"/>
      <c r="DU16" s="173"/>
      <c r="DV16" s="173"/>
      <c r="DW16" s="173"/>
      <c r="DX16" s="173"/>
      <c r="DY16" s="173"/>
      <c r="DZ16" s="173"/>
      <c r="EA16" s="173"/>
      <c r="EB16" s="173"/>
      <c r="EC16" s="173"/>
      <c r="ED16" s="173"/>
      <c r="EE16" s="173"/>
      <c r="EF16" s="173"/>
      <c r="EG16" s="173"/>
      <c r="EH16" s="173"/>
      <c r="EI16" s="173"/>
      <c r="EJ16" s="173"/>
      <c r="EK16" s="173"/>
      <c r="EL16" s="173"/>
      <c r="EM16" s="173"/>
      <c r="EN16" s="173"/>
      <c r="EO16" s="173"/>
      <c r="EP16" s="173"/>
      <c r="EQ16" s="173"/>
      <c r="ER16" s="173"/>
      <c r="ES16" s="173"/>
      <c r="ET16" s="173"/>
      <c r="EU16" s="173"/>
      <c r="EV16" s="173"/>
      <c r="EW16" s="173"/>
      <c r="EX16" s="173"/>
      <c r="EY16" s="173"/>
      <c r="EZ16" s="173"/>
      <c r="FA16" s="173"/>
      <c r="FB16" s="173"/>
      <c r="FC16" s="173"/>
      <c r="FD16" s="173"/>
      <c r="FE16" s="173"/>
      <c r="FF16" s="173"/>
      <c r="FG16" s="173"/>
      <c r="FH16" s="173"/>
      <c r="FI16" s="173"/>
      <c r="FJ16" s="173"/>
      <c r="FK16" s="173"/>
      <c r="FL16" s="173"/>
      <c r="FM16" s="173"/>
      <c r="FN16" s="173"/>
      <c r="FO16" s="173"/>
      <c r="FP16" s="173"/>
      <c r="FQ16" s="173"/>
      <c r="FR16" s="173"/>
      <c r="FS16" s="173"/>
      <c r="FT16" s="173"/>
      <c r="FU16" s="173"/>
      <c r="FV16" s="173"/>
      <c r="FW16" s="173"/>
      <c r="FX16" s="173"/>
      <c r="FY16" s="173"/>
      <c r="FZ16" s="173"/>
      <c r="GA16" s="173"/>
      <c r="GB16" s="173"/>
      <c r="GC16" s="173"/>
      <c r="GD16" s="173"/>
      <c r="GE16" s="173"/>
      <c r="GF16" s="173"/>
      <c r="GG16" s="173"/>
      <c r="GH16" s="173"/>
      <c r="GI16" s="173"/>
      <c r="GJ16" s="173"/>
      <c r="GK16" s="173"/>
    </row>
    <row r="17" spans="1:193">
      <c r="A17" s="587" t="str">
        <f>'BANCO DADOS-CUSTO TOTAL'!C20</f>
        <v>Belo Horizonte</v>
      </c>
      <c r="B17" s="588" t="str">
        <f>'BANCO DADOS-CUSTO TOTAL'!H20</f>
        <v>BELTRANO 12347</v>
      </c>
      <c r="C17" s="588" t="str">
        <f>'BANCO DADOS-CUSTO TOTAL'!I20</f>
        <v>VIGILANTE ARMADO - 220 H</v>
      </c>
      <c r="D17" s="172"/>
      <c r="E17" s="172"/>
      <c r="F17" s="167">
        <v>42370</v>
      </c>
      <c r="G17" s="167">
        <v>42399</v>
      </c>
      <c r="H17" s="168">
        <f t="shared" si="16"/>
        <v>2035.8</v>
      </c>
      <c r="I17" s="169">
        <f>'BANCO DADOS-CUSTO TOTAL'!Y20</f>
        <v>2287.0300000000002</v>
      </c>
      <c r="J17" s="170">
        <f t="shared" si="17"/>
        <v>30</v>
      </c>
      <c r="K17" s="170">
        <f t="shared" si="18"/>
        <v>1</v>
      </c>
      <c r="L17" s="170">
        <f t="shared" si="19"/>
        <v>0</v>
      </c>
      <c r="M17" s="171">
        <f t="shared" si="20"/>
        <v>169.58213999999998</v>
      </c>
      <c r="N17" s="171">
        <f t="shared" si="21"/>
        <v>190.50959900000001</v>
      </c>
      <c r="O17" s="171">
        <f t="shared" si="22"/>
        <v>20.927459000000027</v>
      </c>
      <c r="P17" s="167">
        <f t="shared" si="23"/>
        <v>42370</v>
      </c>
      <c r="Q17" s="167">
        <f t="shared" si="24"/>
        <v>42399</v>
      </c>
      <c r="R17" s="168">
        <f t="shared" si="25"/>
        <v>2035.8</v>
      </c>
      <c r="S17" s="169">
        <f t="shared" si="26"/>
        <v>2287.0300000000002</v>
      </c>
      <c r="T17" s="170">
        <f t="shared" si="27"/>
        <v>30</v>
      </c>
      <c r="U17" s="170">
        <f t="shared" si="28"/>
        <v>1</v>
      </c>
      <c r="V17" s="170">
        <f t="shared" si="29"/>
        <v>0</v>
      </c>
      <c r="W17" s="171">
        <f t="shared" si="30"/>
        <v>226.17738</v>
      </c>
      <c r="X17" s="171">
        <f t="shared" si="31"/>
        <v>254.08903300000003</v>
      </c>
      <c r="Y17" s="171">
        <f t="shared" si="32"/>
        <v>27.91165300000003</v>
      </c>
      <c r="Z17" s="167">
        <f t="shared" si="33"/>
        <v>42370</v>
      </c>
      <c r="AA17" s="167">
        <f t="shared" si="34"/>
        <v>42399</v>
      </c>
      <c r="AB17" s="168">
        <f t="shared" si="35"/>
        <v>2035.8</v>
      </c>
      <c r="AC17" s="169">
        <f t="shared" si="36"/>
        <v>2287.0300000000002</v>
      </c>
      <c r="AD17" s="170">
        <f t="shared" si="37"/>
        <v>30</v>
      </c>
      <c r="AE17" s="170">
        <f t="shared" si="38"/>
        <v>1</v>
      </c>
      <c r="AF17" s="170">
        <f t="shared" si="39"/>
        <v>0</v>
      </c>
      <c r="AG17" s="171">
        <f t="shared" si="40"/>
        <v>87.539399999999986</v>
      </c>
      <c r="AH17" s="171">
        <f t="shared" si="41"/>
        <v>98.342290000000006</v>
      </c>
      <c r="AI17" s="171">
        <f t="shared" si="42"/>
        <v>10.802890000000019</v>
      </c>
      <c r="AJ17" s="167">
        <f t="shared" si="43"/>
        <v>42370</v>
      </c>
      <c r="AK17" s="167">
        <f t="shared" si="44"/>
        <v>42399</v>
      </c>
      <c r="AL17" s="168">
        <f t="shared" si="45"/>
        <v>2035.8</v>
      </c>
      <c r="AM17" s="169">
        <f t="shared" si="46"/>
        <v>2287.0300000000002</v>
      </c>
      <c r="AN17" s="170">
        <f t="shared" si="47"/>
        <v>30</v>
      </c>
      <c r="AO17" s="170">
        <f t="shared" si="48"/>
        <v>1</v>
      </c>
      <c r="AP17" s="170">
        <f t="shared" si="49"/>
        <v>0</v>
      </c>
      <c r="AQ17" s="171">
        <f t="shared" si="50"/>
        <v>62.406227519999995</v>
      </c>
      <c r="AR17" s="171">
        <f t="shared" si="51"/>
        <v>70.107532431999999</v>
      </c>
      <c r="AS17" s="171">
        <f t="shared" si="52"/>
        <v>7.7013049120000048</v>
      </c>
      <c r="AT17" s="167">
        <f t="shared" si="53"/>
        <v>42370</v>
      </c>
      <c r="AU17" s="167">
        <f t="shared" si="54"/>
        <v>42399</v>
      </c>
      <c r="AV17" s="168">
        <f t="shared" si="55"/>
        <v>2035.8</v>
      </c>
      <c r="AW17" s="169">
        <f t="shared" si="56"/>
        <v>2287.0300000000002</v>
      </c>
      <c r="AX17" s="170">
        <f t="shared" si="57"/>
        <v>30</v>
      </c>
      <c r="AY17" s="170">
        <f t="shared" si="58"/>
        <v>1</v>
      </c>
      <c r="AZ17" s="170">
        <f t="shared" si="59"/>
        <v>0</v>
      </c>
      <c r="BA17" s="171">
        <f t="shared" si="60"/>
        <v>83.23327583999999</v>
      </c>
      <c r="BB17" s="171">
        <f t="shared" si="61"/>
        <v>93.504764144000006</v>
      </c>
      <c r="BC17" s="171">
        <f t="shared" si="62"/>
        <v>10.271488304000016</v>
      </c>
      <c r="BD17" s="171">
        <f t="shared" si="63"/>
        <v>77.61479521600009</v>
      </c>
      <c r="BT17" s="173"/>
      <c r="BU17" s="173"/>
      <c r="BV17" s="173"/>
      <c r="BW17" s="173"/>
      <c r="BX17" s="173"/>
      <c r="BY17" s="173"/>
      <c r="BZ17" s="173"/>
      <c r="CA17" s="173"/>
      <c r="CB17" s="173"/>
      <c r="CC17" s="173"/>
      <c r="CD17" s="173"/>
      <c r="CE17" s="173"/>
      <c r="CF17" s="173"/>
      <c r="CG17" s="173"/>
      <c r="CH17" s="173"/>
      <c r="CI17" s="173"/>
      <c r="CJ17" s="173"/>
      <c r="CK17" s="173"/>
      <c r="CL17" s="173"/>
      <c r="CM17" s="173"/>
      <c r="CN17" s="173"/>
      <c r="CO17" s="173"/>
      <c r="CP17" s="173"/>
      <c r="CQ17" s="173"/>
      <c r="CR17" s="173"/>
      <c r="CS17" s="173"/>
      <c r="CT17" s="173"/>
      <c r="CU17" s="173"/>
      <c r="CV17" s="173"/>
      <c r="CW17" s="173"/>
      <c r="CX17" s="173"/>
      <c r="CY17" s="173"/>
      <c r="CZ17" s="173"/>
      <c r="DA17" s="173"/>
      <c r="DB17" s="173"/>
      <c r="DC17" s="173"/>
      <c r="DD17" s="173"/>
      <c r="DE17" s="173"/>
      <c r="DF17" s="173"/>
      <c r="DG17" s="173"/>
      <c r="DH17" s="173"/>
      <c r="DI17" s="173"/>
      <c r="DJ17" s="173"/>
      <c r="DK17" s="173"/>
      <c r="DL17" s="173"/>
      <c r="DM17" s="173"/>
      <c r="DN17" s="173"/>
      <c r="DO17" s="173"/>
      <c r="DP17" s="173"/>
      <c r="DQ17" s="173"/>
      <c r="DR17" s="173"/>
      <c r="DS17" s="173"/>
      <c r="DT17" s="173"/>
      <c r="DU17" s="173"/>
      <c r="DV17" s="173"/>
      <c r="DW17" s="173"/>
      <c r="DX17" s="173"/>
      <c r="DY17" s="173"/>
      <c r="DZ17" s="173"/>
      <c r="EA17" s="173"/>
      <c r="EB17" s="173"/>
      <c r="EC17" s="173"/>
      <c r="ED17" s="173"/>
      <c r="EE17" s="173"/>
      <c r="EF17" s="173"/>
      <c r="EG17" s="173"/>
      <c r="EH17" s="173"/>
      <c r="EI17" s="173"/>
      <c r="EJ17" s="173"/>
      <c r="EK17" s="173"/>
      <c r="EL17" s="173"/>
      <c r="EM17" s="173"/>
      <c r="EN17" s="173"/>
      <c r="EO17" s="173"/>
      <c r="EP17" s="173"/>
      <c r="EQ17" s="173"/>
      <c r="ER17" s="173"/>
      <c r="ES17" s="173"/>
      <c r="ET17" s="173"/>
      <c r="EU17" s="173"/>
      <c r="EV17" s="173"/>
      <c r="EW17" s="173"/>
      <c r="EX17" s="173"/>
      <c r="EY17" s="173"/>
      <c r="EZ17" s="173"/>
      <c r="FA17" s="173"/>
      <c r="FB17" s="173"/>
      <c r="FC17" s="173"/>
      <c r="FD17" s="173"/>
      <c r="FE17" s="173"/>
      <c r="FF17" s="173"/>
      <c r="FG17" s="173"/>
      <c r="FH17" s="173"/>
      <c r="FI17" s="173"/>
      <c r="FJ17" s="173"/>
      <c r="FK17" s="173"/>
      <c r="FL17" s="173"/>
      <c r="FM17" s="173"/>
      <c r="FN17" s="173"/>
      <c r="FO17" s="173"/>
      <c r="FP17" s="173"/>
      <c r="FQ17" s="173"/>
      <c r="FR17" s="173"/>
      <c r="FS17" s="173"/>
      <c r="FT17" s="173"/>
      <c r="FU17" s="173"/>
      <c r="FV17" s="173"/>
      <c r="FW17" s="173"/>
      <c r="FX17" s="173"/>
      <c r="FY17" s="173"/>
      <c r="FZ17" s="173"/>
      <c r="GA17" s="173"/>
      <c r="GB17" s="173"/>
      <c r="GC17" s="173"/>
      <c r="GD17" s="173"/>
      <c r="GE17" s="173"/>
      <c r="GF17" s="173"/>
      <c r="GG17" s="173"/>
      <c r="GH17" s="173"/>
      <c r="GI17" s="173"/>
      <c r="GJ17" s="173"/>
      <c r="GK17" s="173"/>
    </row>
    <row r="18" spans="1:193">
      <c r="A18" s="587" t="str">
        <f>'BANCO DADOS-CUSTO TOTAL'!C21</f>
        <v>Belo Horizonte</v>
      </c>
      <c r="B18" s="588" t="str">
        <f>'BANCO DADOS-CUSTO TOTAL'!H21</f>
        <v>BELTRANO 12348</v>
      </c>
      <c r="C18" s="588" t="str">
        <f>'BANCO DADOS-CUSTO TOTAL'!I21</f>
        <v>VIGILANTE ARMADO - 12X36 DIURNO</v>
      </c>
      <c r="D18" s="172"/>
      <c r="E18" s="172"/>
      <c r="F18" s="167"/>
      <c r="G18" s="167"/>
      <c r="H18" s="168"/>
      <c r="I18" s="169"/>
      <c r="J18" s="170">
        <f t="shared" si="17"/>
        <v>0</v>
      </c>
      <c r="K18" s="170">
        <f t="shared" si="18"/>
        <v>0</v>
      </c>
      <c r="L18" s="170">
        <f t="shared" si="19"/>
        <v>0</v>
      </c>
      <c r="M18" s="171">
        <f t="shared" si="20"/>
        <v>0</v>
      </c>
      <c r="N18" s="171">
        <f t="shared" si="21"/>
        <v>0</v>
      </c>
      <c r="O18" s="171">
        <f t="shared" si="22"/>
        <v>0</v>
      </c>
      <c r="P18" s="167">
        <f t="shared" si="23"/>
        <v>0</v>
      </c>
      <c r="Q18" s="167">
        <f t="shared" si="24"/>
        <v>0</v>
      </c>
      <c r="R18" s="168">
        <f t="shared" si="25"/>
        <v>0</v>
      </c>
      <c r="S18" s="169">
        <f t="shared" si="26"/>
        <v>0</v>
      </c>
      <c r="T18" s="170">
        <f t="shared" si="27"/>
        <v>1</v>
      </c>
      <c r="U18" s="170">
        <f t="shared" si="28"/>
        <v>0</v>
      </c>
      <c r="V18" s="170">
        <f t="shared" si="29"/>
        <v>1</v>
      </c>
      <c r="W18" s="171">
        <f t="shared" si="30"/>
        <v>0</v>
      </c>
      <c r="X18" s="171">
        <f t="shared" si="31"/>
        <v>0</v>
      </c>
      <c r="Y18" s="171">
        <f t="shared" si="32"/>
        <v>0</v>
      </c>
      <c r="Z18" s="167">
        <f t="shared" si="33"/>
        <v>0</v>
      </c>
      <c r="AA18" s="167">
        <f t="shared" si="34"/>
        <v>0</v>
      </c>
      <c r="AB18" s="168">
        <f t="shared" si="35"/>
        <v>0</v>
      </c>
      <c r="AC18" s="169">
        <f t="shared" si="36"/>
        <v>0</v>
      </c>
      <c r="AD18" s="170">
        <f t="shared" si="37"/>
        <v>1</v>
      </c>
      <c r="AE18" s="170">
        <f t="shared" si="38"/>
        <v>0</v>
      </c>
      <c r="AF18" s="170">
        <f t="shared" si="39"/>
        <v>1</v>
      </c>
      <c r="AG18" s="171">
        <f t="shared" si="40"/>
        <v>0</v>
      </c>
      <c r="AH18" s="171">
        <f t="shared" si="41"/>
        <v>0</v>
      </c>
      <c r="AI18" s="171">
        <f t="shared" si="42"/>
        <v>0</v>
      </c>
      <c r="AJ18" s="167">
        <f t="shared" si="43"/>
        <v>0</v>
      </c>
      <c r="AK18" s="167">
        <f t="shared" si="44"/>
        <v>0</v>
      </c>
      <c r="AL18" s="168">
        <f t="shared" si="45"/>
        <v>0</v>
      </c>
      <c r="AM18" s="169">
        <f t="shared" si="46"/>
        <v>0</v>
      </c>
      <c r="AN18" s="170">
        <f t="shared" si="47"/>
        <v>1</v>
      </c>
      <c r="AO18" s="170">
        <f t="shared" si="48"/>
        <v>0</v>
      </c>
      <c r="AP18" s="170">
        <f t="shared" si="49"/>
        <v>1</v>
      </c>
      <c r="AQ18" s="171">
        <f t="shared" si="50"/>
        <v>0</v>
      </c>
      <c r="AR18" s="171">
        <f t="shared" si="51"/>
        <v>0</v>
      </c>
      <c r="AS18" s="171">
        <f t="shared" si="52"/>
        <v>0</v>
      </c>
      <c r="AT18" s="167">
        <f t="shared" si="53"/>
        <v>0</v>
      </c>
      <c r="AU18" s="167">
        <f t="shared" si="54"/>
        <v>0</v>
      </c>
      <c r="AV18" s="168">
        <f t="shared" si="55"/>
        <v>0</v>
      </c>
      <c r="AW18" s="169">
        <f t="shared" si="56"/>
        <v>0</v>
      </c>
      <c r="AX18" s="170">
        <f t="shared" si="57"/>
        <v>1</v>
      </c>
      <c r="AY18" s="170">
        <f t="shared" si="58"/>
        <v>0</v>
      </c>
      <c r="AZ18" s="170">
        <f t="shared" si="59"/>
        <v>1</v>
      </c>
      <c r="BA18" s="171">
        <f t="shared" si="60"/>
        <v>0</v>
      </c>
      <c r="BB18" s="171">
        <f t="shared" si="61"/>
        <v>0</v>
      </c>
      <c r="BC18" s="171">
        <f t="shared" si="62"/>
        <v>0</v>
      </c>
      <c r="BD18" s="171">
        <f t="shared" si="63"/>
        <v>0</v>
      </c>
      <c r="BT18" s="173"/>
      <c r="BU18" s="173"/>
      <c r="BV18" s="173"/>
      <c r="BW18" s="173"/>
      <c r="BX18" s="173"/>
      <c r="BY18" s="173"/>
      <c r="BZ18" s="173"/>
      <c r="CA18" s="173"/>
      <c r="CB18" s="173"/>
      <c r="CC18" s="173"/>
      <c r="CD18" s="173"/>
      <c r="CE18" s="173"/>
      <c r="CF18" s="173"/>
      <c r="CG18" s="173"/>
      <c r="CH18" s="173"/>
      <c r="CI18" s="173"/>
      <c r="CJ18" s="173"/>
      <c r="CK18" s="173"/>
      <c r="CL18" s="173"/>
      <c r="CM18" s="173"/>
      <c r="CN18" s="173"/>
      <c r="CO18" s="173"/>
      <c r="CP18" s="173"/>
      <c r="CQ18" s="173"/>
      <c r="CR18" s="173"/>
      <c r="CS18" s="173"/>
      <c r="CT18" s="173"/>
      <c r="CU18" s="173"/>
      <c r="CV18" s="173"/>
      <c r="CW18" s="173"/>
      <c r="CX18" s="173"/>
      <c r="CY18" s="173"/>
      <c r="CZ18" s="173"/>
      <c r="DA18" s="173"/>
      <c r="DB18" s="173"/>
      <c r="DC18" s="173"/>
      <c r="DD18" s="173"/>
      <c r="DE18" s="173"/>
      <c r="DF18" s="173"/>
      <c r="DG18" s="173"/>
      <c r="DH18" s="173"/>
      <c r="DI18" s="173"/>
      <c r="DJ18" s="173"/>
      <c r="DK18" s="173"/>
      <c r="DL18" s="173"/>
      <c r="DM18" s="173"/>
      <c r="DN18" s="173"/>
      <c r="DO18" s="173"/>
      <c r="DP18" s="173"/>
      <c r="DQ18" s="173"/>
      <c r="DR18" s="173"/>
      <c r="DS18" s="173"/>
      <c r="DT18" s="173"/>
      <c r="DU18" s="173"/>
      <c r="DV18" s="173"/>
      <c r="DW18" s="173"/>
      <c r="DX18" s="173"/>
      <c r="DY18" s="173"/>
      <c r="DZ18" s="173"/>
      <c r="EA18" s="173"/>
      <c r="EB18" s="173"/>
      <c r="EC18" s="173"/>
      <c r="ED18" s="173"/>
      <c r="EE18" s="173"/>
      <c r="EF18" s="173"/>
      <c r="EG18" s="173"/>
      <c r="EH18" s="173"/>
      <c r="EI18" s="173"/>
      <c r="EJ18" s="173"/>
      <c r="EK18" s="173"/>
      <c r="EL18" s="173"/>
      <c r="EM18" s="173"/>
      <c r="EN18" s="173"/>
      <c r="EO18" s="173"/>
      <c r="EP18" s="173"/>
      <c r="EQ18" s="173"/>
      <c r="ER18" s="173"/>
      <c r="ES18" s="173"/>
      <c r="ET18" s="173"/>
      <c r="EU18" s="173"/>
      <c r="EV18" s="173"/>
      <c r="EW18" s="173"/>
      <c r="EX18" s="173"/>
      <c r="EY18" s="173"/>
      <c r="EZ18" s="173"/>
      <c r="FA18" s="173"/>
      <c r="FB18" s="173"/>
      <c r="FC18" s="173"/>
      <c r="FD18" s="173"/>
      <c r="FE18" s="173"/>
      <c r="FF18" s="173"/>
      <c r="FG18" s="173"/>
      <c r="FH18" s="173"/>
      <c r="FI18" s="173"/>
      <c r="FJ18" s="173"/>
      <c r="FK18" s="173"/>
      <c r="FL18" s="173"/>
      <c r="FM18" s="173"/>
      <c r="FN18" s="173"/>
      <c r="FO18" s="173"/>
      <c r="FP18" s="173"/>
      <c r="FQ18" s="173"/>
      <c r="FR18" s="173"/>
      <c r="FS18" s="173"/>
      <c r="FT18" s="173"/>
      <c r="FU18" s="173"/>
      <c r="FV18" s="173"/>
      <c r="FW18" s="173"/>
      <c r="FX18" s="173"/>
      <c r="FY18" s="173"/>
      <c r="FZ18" s="173"/>
      <c r="GA18" s="173"/>
      <c r="GB18" s="173"/>
      <c r="GC18" s="173"/>
      <c r="GD18" s="173"/>
      <c r="GE18" s="173"/>
      <c r="GF18" s="173"/>
      <c r="GG18" s="173"/>
      <c r="GH18" s="173"/>
      <c r="GI18" s="173"/>
      <c r="GJ18" s="173"/>
      <c r="GK18" s="173"/>
    </row>
    <row r="19" spans="1:193">
      <c r="A19" s="587" t="str">
        <f>'BANCO DADOS-CUSTO TOTAL'!C22</f>
        <v>Belo Horizonte</v>
      </c>
      <c r="B19" s="588" t="str">
        <f>'BANCO DADOS-CUSTO TOTAL'!H22</f>
        <v>BELTRANO 124215</v>
      </c>
      <c r="C19" s="588" t="str">
        <f>'BANCO DADOS-CUSTO TOTAL'!I22</f>
        <v>VIGILANTE ARMADO - 12X36 DIURNO</v>
      </c>
      <c r="D19" s="172"/>
      <c r="E19" s="172"/>
      <c r="F19" s="167"/>
      <c r="G19" s="167"/>
      <c r="H19" s="168"/>
      <c r="I19" s="169"/>
      <c r="J19" s="170">
        <f t="shared" si="17"/>
        <v>0</v>
      </c>
      <c r="K19" s="170">
        <f t="shared" si="18"/>
        <v>0</v>
      </c>
      <c r="L19" s="170">
        <f t="shared" si="19"/>
        <v>0</v>
      </c>
      <c r="M19" s="171">
        <f t="shared" si="20"/>
        <v>0</v>
      </c>
      <c r="N19" s="171">
        <f t="shared" si="21"/>
        <v>0</v>
      </c>
      <c r="O19" s="171">
        <f t="shared" si="22"/>
        <v>0</v>
      </c>
      <c r="P19" s="167">
        <f t="shared" si="23"/>
        <v>0</v>
      </c>
      <c r="Q19" s="167">
        <f t="shared" si="24"/>
        <v>0</v>
      </c>
      <c r="R19" s="168">
        <f t="shared" si="25"/>
        <v>0</v>
      </c>
      <c r="S19" s="169">
        <f t="shared" si="26"/>
        <v>0</v>
      </c>
      <c r="T19" s="170">
        <f t="shared" si="27"/>
        <v>1</v>
      </c>
      <c r="U19" s="170">
        <f t="shared" si="28"/>
        <v>0</v>
      </c>
      <c r="V19" s="170">
        <f t="shared" si="29"/>
        <v>1</v>
      </c>
      <c r="W19" s="171">
        <f t="shared" si="30"/>
        <v>0</v>
      </c>
      <c r="X19" s="171">
        <f t="shared" si="31"/>
        <v>0</v>
      </c>
      <c r="Y19" s="171">
        <f t="shared" si="32"/>
        <v>0</v>
      </c>
      <c r="Z19" s="167">
        <f t="shared" si="33"/>
        <v>0</v>
      </c>
      <c r="AA19" s="167">
        <f t="shared" si="34"/>
        <v>0</v>
      </c>
      <c r="AB19" s="168">
        <f t="shared" si="35"/>
        <v>0</v>
      </c>
      <c r="AC19" s="169">
        <f t="shared" si="36"/>
        <v>0</v>
      </c>
      <c r="AD19" s="170">
        <f t="shared" si="37"/>
        <v>1</v>
      </c>
      <c r="AE19" s="170">
        <f t="shared" si="38"/>
        <v>0</v>
      </c>
      <c r="AF19" s="170">
        <f t="shared" si="39"/>
        <v>1</v>
      </c>
      <c r="AG19" s="171">
        <f t="shared" si="40"/>
        <v>0</v>
      </c>
      <c r="AH19" s="171">
        <f t="shared" si="41"/>
        <v>0</v>
      </c>
      <c r="AI19" s="171">
        <f t="shared" si="42"/>
        <v>0</v>
      </c>
      <c r="AJ19" s="167">
        <f t="shared" si="43"/>
        <v>0</v>
      </c>
      <c r="AK19" s="167">
        <f t="shared" si="44"/>
        <v>0</v>
      </c>
      <c r="AL19" s="168">
        <f t="shared" si="45"/>
        <v>0</v>
      </c>
      <c r="AM19" s="169">
        <f t="shared" si="46"/>
        <v>0</v>
      </c>
      <c r="AN19" s="170">
        <f t="shared" si="47"/>
        <v>1</v>
      </c>
      <c r="AO19" s="170">
        <f t="shared" si="48"/>
        <v>0</v>
      </c>
      <c r="AP19" s="170">
        <f t="shared" si="49"/>
        <v>1</v>
      </c>
      <c r="AQ19" s="171">
        <f t="shared" si="50"/>
        <v>0</v>
      </c>
      <c r="AR19" s="171">
        <f t="shared" si="51"/>
        <v>0</v>
      </c>
      <c r="AS19" s="171">
        <f t="shared" si="52"/>
        <v>0</v>
      </c>
      <c r="AT19" s="167">
        <f t="shared" si="53"/>
        <v>0</v>
      </c>
      <c r="AU19" s="167">
        <f t="shared" si="54"/>
        <v>0</v>
      </c>
      <c r="AV19" s="168">
        <f t="shared" si="55"/>
        <v>0</v>
      </c>
      <c r="AW19" s="169">
        <f t="shared" si="56"/>
        <v>0</v>
      </c>
      <c r="AX19" s="170">
        <f t="shared" si="57"/>
        <v>1</v>
      </c>
      <c r="AY19" s="170">
        <f t="shared" si="58"/>
        <v>0</v>
      </c>
      <c r="AZ19" s="170">
        <f t="shared" si="59"/>
        <v>1</v>
      </c>
      <c r="BA19" s="171">
        <f t="shared" si="60"/>
        <v>0</v>
      </c>
      <c r="BB19" s="171">
        <f t="shared" si="61"/>
        <v>0</v>
      </c>
      <c r="BC19" s="171">
        <f t="shared" si="62"/>
        <v>0</v>
      </c>
      <c r="BD19" s="171">
        <f t="shared" si="63"/>
        <v>0</v>
      </c>
      <c r="BT19" s="173"/>
      <c r="BU19" s="173"/>
      <c r="BV19" s="173"/>
      <c r="BW19" s="173"/>
      <c r="BX19" s="173"/>
      <c r="BY19" s="173"/>
      <c r="BZ19" s="173"/>
      <c r="CA19" s="173"/>
      <c r="CB19" s="173"/>
      <c r="CC19" s="173"/>
      <c r="CD19" s="173"/>
      <c r="CE19" s="173"/>
      <c r="CF19" s="173"/>
      <c r="CG19" s="173"/>
      <c r="CH19" s="173"/>
      <c r="CI19" s="173"/>
      <c r="CJ19" s="173"/>
      <c r="CK19" s="173"/>
      <c r="CL19" s="173"/>
      <c r="CM19" s="173"/>
      <c r="CN19" s="173"/>
      <c r="CO19" s="173"/>
      <c r="CP19" s="173"/>
      <c r="CQ19" s="173"/>
      <c r="CR19" s="173"/>
      <c r="CS19" s="173"/>
      <c r="CT19" s="173"/>
      <c r="CU19" s="173"/>
      <c r="CV19" s="173"/>
      <c r="CW19" s="173"/>
      <c r="CX19" s="173"/>
      <c r="CY19" s="173"/>
      <c r="CZ19" s="173"/>
      <c r="DA19" s="173"/>
      <c r="DB19" s="173"/>
      <c r="DC19" s="173"/>
      <c r="DD19" s="173"/>
      <c r="DE19" s="173"/>
      <c r="DF19" s="173"/>
      <c r="DG19" s="173"/>
      <c r="DH19" s="173"/>
      <c r="DI19" s="173"/>
      <c r="DJ19" s="173"/>
      <c r="DK19" s="173"/>
      <c r="DL19" s="173"/>
      <c r="DM19" s="173"/>
      <c r="DN19" s="173"/>
      <c r="DO19" s="173"/>
      <c r="DP19" s="173"/>
      <c r="DQ19" s="173"/>
      <c r="DR19" s="173"/>
      <c r="DS19" s="173"/>
      <c r="DT19" s="173"/>
      <c r="DU19" s="173"/>
      <c r="DV19" s="173"/>
      <c r="DW19" s="173"/>
      <c r="DX19" s="173"/>
      <c r="DY19" s="173"/>
      <c r="DZ19" s="173"/>
      <c r="EA19" s="173"/>
      <c r="EB19" s="173"/>
      <c r="EC19" s="173"/>
      <c r="ED19" s="173"/>
      <c r="EE19" s="173"/>
      <c r="EF19" s="173"/>
      <c r="EG19" s="173"/>
      <c r="EH19" s="173"/>
      <c r="EI19" s="173"/>
      <c r="EJ19" s="173"/>
      <c r="EK19" s="173"/>
      <c r="EL19" s="173"/>
      <c r="EM19" s="173"/>
      <c r="EN19" s="173"/>
      <c r="EO19" s="173"/>
      <c r="EP19" s="173"/>
      <c r="EQ19" s="173"/>
      <c r="ER19" s="173"/>
      <c r="ES19" s="173"/>
      <c r="ET19" s="173"/>
      <c r="EU19" s="173"/>
      <c r="EV19" s="173"/>
      <c r="EW19" s="173"/>
      <c r="EX19" s="173"/>
      <c r="EY19" s="173"/>
      <c r="EZ19" s="173"/>
      <c r="FA19" s="173"/>
      <c r="FB19" s="173"/>
      <c r="FC19" s="173"/>
      <c r="FD19" s="173"/>
      <c r="FE19" s="173"/>
      <c r="FF19" s="173"/>
      <c r="FG19" s="173"/>
      <c r="FH19" s="173"/>
      <c r="FI19" s="173"/>
      <c r="FJ19" s="173"/>
      <c r="FK19" s="173"/>
      <c r="FL19" s="173"/>
      <c r="FM19" s="173"/>
      <c r="FN19" s="173"/>
      <c r="FO19" s="173"/>
      <c r="FP19" s="173"/>
      <c r="FQ19" s="173"/>
      <c r="FR19" s="173"/>
      <c r="FS19" s="173"/>
      <c r="FT19" s="173"/>
      <c r="FU19" s="173"/>
      <c r="FV19" s="173"/>
      <c r="FW19" s="173"/>
      <c r="FX19" s="173"/>
      <c r="FY19" s="173"/>
      <c r="FZ19" s="173"/>
      <c r="GA19" s="173"/>
      <c r="GB19" s="173"/>
      <c r="GC19" s="173"/>
      <c r="GD19" s="173"/>
      <c r="GE19" s="173"/>
      <c r="GF19" s="173"/>
      <c r="GG19" s="173"/>
      <c r="GH19" s="173"/>
      <c r="GI19" s="173"/>
      <c r="GJ19" s="173"/>
      <c r="GK19" s="173"/>
    </row>
    <row r="20" spans="1:193" s="175" customFormat="1">
      <c r="A20" s="587" t="str">
        <f>'BANCO DADOS-CUSTO TOTAL'!C23</f>
        <v>Belo Horizonte</v>
      </c>
      <c r="B20" s="588" t="str">
        <f>'BANCO DADOS-CUSTO TOTAL'!H23</f>
        <v>BELTRANO 12349</v>
      </c>
      <c r="C20" s="588" t="str">
        <f>'BANCO DADOS-CUSTO TOTAL'!I23</f>
        <v>VIGILANTE ARMADO - 12X36 DIURNO</v>
      </c>
      <c r="D20" s="172"/>
      <c r="E20" s="589"/>
      <c r="F20" s="167">
        <v>42370</v>
      </c>
      <c r="G20" s="167">
        <v>42399</v>
      </c>
      <c r="H20" s="168">
        <f t="shared" si="16"/>
        <v>1869.08</v>
      </c>
      <c r="I20" s="169">
        <f>'BANCO DADOS-CUSTO TOTAL'!Y23</f>
        <v>2277.88</v>
      </c>
      <c r="J20" s="170">
        <f t="shared" si="17"/>
        <v>30</v>
      </c>
      <c r="K20" s="170">
        <f t="shared" si="18"/>
        <v>1</v>
      </c>
      <c r="L20" s="170">
        <f t="shared" si="19"/>
        <v>0</v>
      </c>
      <c r="M20" s="171">
        <f t="shared" si="20"/>
        <v>155.69436399999998</v>
      </c>
      <c r="N20" s="171">
        <f t="shared" si="21"/>
        <v>189.74740400000002</v>
      </c>
      <c r="O20" s="171">
        <f t="shared" si="22"/>
        <v>34.053040000000038</v>
      </c>
      <c r="P20" s="167">
        <f t="shared" si="23"/>
        <v>42370</v>
      </c>
      <c r="Q20" s="167">
        <f t="shared" si="24"/>
        <v>42399</v>
      </c>
      <c r="R20" s="168">
        <f t="shared" si="25"/>
        <v>1869.08</v>
      </c>
      <c r="S20" s="169">
        <f t="shared" si="26"/>
        <v>2277.88</v>
      </c>
      <c r="T20" s="170">
        <f t="shared" si="27"/>
        <v>30</v>
      </c>
      <c r="U20" s="170">
        <f t="shared" si="28"/>
        <v>1</v>
      </c>
      <c r="V20" s="170">
        <f t="shared" si="29"/>
        <v>0</v>
      </c>
      <c r="W20" s="171">
        <f t="shared" si="30"/>
        <v>207.654788</v>
      </c>
      <c r="X20" s="171">
        <f t="shared" si="31"/>
        <v>253.07246800000001</v>
      </c>
      <c r="Y20" s="171">
        <f t="shared" si="32"/>
        <v>45.417680000000018</v>
      </c>
      <c r="Z20" s="167">
        <f t="shared" si="33"/>
        <v>42370</v>
      </c>
      <c r="AA20" s="167">
        <f t="shared" si="34"/>
        <v>42399</v>
      </c>
      <c r="AB20" s="168">
        <f t="shared" si="35"/>
        <v>1869.08</v>
      </c>
      <c r="AC20" s="169">
        <f t="shared" si="36"/>
        <v>2277.88</v>
      </c>
      <c r="AD20" s="170">
        <f t="shared" si="37"/>
        <v>30</v>
      </c>
      <c r="AE20" s="170">
        <f t="shared" si="38"/>
        <v>1</v>
      </c>
      <c r="AF20" s="170">
        <f t="shared" si="39"/>
        <v>0</v>
      </c>
      <c r="AG20" s="171">
        <f t="shared" si="40"/>
        <v>80.370439999999988</v>
      </c>
      <c r="AH20" s="171">
        <f t="shared" si="41"/>
        <v>97.94883999999999</v>
      </c>
      <c r="AI20" s="171">
        <f t="shared" si="42"/>
        <v>17.578400000000002</v>
      </c>
      <c r="AJ20" s="167">
        <f t="shared" si="43"/>
        <v>42370</v>
      </c>
      <c r="AK20" s="167">
        <f t="shared" si="44"/>
        <v>42399</v>
      </c>
      <c r="AL20" s="168">
        <f t="shared" si="45"/>
        <v>1869.08</v>
      </c>
      <c r="AM20" s="169">
        <f t="shared" si="46"/>
        <v>2277.88</v>
      </c>
      <c r="AN20" s="170">
        <f t="shared" si="47"/>
        <v>30</v>
      </c>
      <c r="AO20" s="170">
        <f t="shared" si="48"/>
        <v>1</v>
      </c>
      <c r="AP20" s="170">
        <f t="shared" si="49"/>
        <v>0</v>
      </c>
      <c r="AQ20" s="171">
        <f t="shared" si="50"/>
        <v>57.295525951999991</v>
      </c>
      <c r="AR20" s="171">
        <f t="shared" si="51"/>
        <v>69.827044672</v>
      </c>
      <c r="AS20" s="171">
        <f t="shared" si="52"/>
        <v>12.531518720000008</v>
      </c>
      <c r="AT20" s="167">
        <f t="shared" si="53"/>
        <v>42370</v>
      </c>
      <c r="AU20" s="167">
        <f t="shared" si="54"/>
        <v>42399</v>
      </c>
      <c r="AV20" s="168">
        <f t="shared" si="55"/>
        <v>1869.08</v>
      </c>
      <c r="AW20" s="169">
        <f t="shared" si="56"/>
        <v>2277.88</v>
      </c>
      <c r="AX20" s="170">
        <f t="shared" si="57"/>
        <v>30</v>
      </c>
      <c r="AY20" s="170">
        <f t="shared" si="58"/>
        <v>1</v>
      </c>
      <c r="AZ20" s="170">
        <f t="shared" si="59"/>
        <v>0</v>
      </c>
      <c r="BA20" s="171">
        <f t="shared" si="60"/>
        <v>76.416961983999997</v>
      </c>
      <c r="BB20" s="171">
        <f t="shared" si="61"/>
        <v>93.130668224000004</v>
      </c>
      <c r="BC20" s="171">
        <f t="shared" si="62"/>
        <v>16.713706240000008</v>
      </c>
      <c r="BD20" s="171">
        <f t="shared" si="63"/>
        <v>126.29434496000007</v>
      </c>
      <c r="BT20" s="176"/>
      <c r="BU20" s="176"/>
      <c r="BV20" s="176"/>
      <c r="BW20" s="176"/>
      <c r="BX20" s="176"/>
      <c r="BY20" s="176"/>
      <c r="BZ20" s="176"/>
      <c r="CA20" s="176"/>
      <c r="CB20" s="176"/>
      <c r="CC20" s="176"/>
      <c r="CD20" s="176"/>
      <c r="CE20" s="176"/>
      <c r="CF20" s="176"/>
      <c r="CG20" s="176"/>
      <c r="CH20" s="176"/>
      <c r="CI20" s="176"/>
      <c r="CJ20" s="176"/>
      <c r="CK20" s="176"/>
      <c r="CL20" s="176"/>
      <c r="CM20" s="176"/>
      <c r="CN20" s="176"/>
      <c r="CO20" s="176"/>
      <c r="CP20" s="176"/>
      <c r="CQ20" s="176"/>
      <c r="CR20" s="176"/>
      <c r="CS20" s="176"/>
      <c r="CT20" s="176"/>
      <c r="CU20" s="176"/>
      <c r="CV20" s="176"/>
      <c r="CW20" s="176"/>
      <c r="CX20" s="176"/>
      <c r="CY20" s="176"/>
      <c r="CZ20" s="176"/>
      <c r="DA20" s="176"/>
      <c r="DB20" s="176"/>
      <c r="DC20" s="176"/>
      <c r="DD20" s="176"/>
      <c r="DE20" s="176"/>
      <c r="DF20" s="176"/>
      <c r="DG20" s="176"/>
      <c r="DH20" s="176"/>
      <c r="DI20" s="176"/>
      <c r="DJ20" s="176"/>
      <c r="DK20" s="176"/>
      <c r="DL20" s="176"/>
      <c r="DM20" s="176"/>
      <c r="DN20" s="176"/>
      <c r="DO20" s="176"/>
      <c r="DP20" s="176"/>
      <c r="DQ20" s="176"/>
      <c r="DR20" s="176"/>
      <c r="DS20" s="176"/>
      <c r="DT20" s="176"/>
      <c r="DU20" s="176"/>
      <c r="DV20" s="176"/>
      <c r="DW20" s="176"/>
      <c r="DX20" s="176"/>
      <c r="DY20" s="176"/>
      <c r="DZ20" s="176"/>
      <c r="EA20" s="176"/>
      <c r="EB20" s="176"/>
      <c r="EC20" s="176"/>
      <c r="ED20" s="176"/>
      <c r="EE20" s="176"/>
      <c r="EF20" s="176"/>
      <c r="EG20" s="176"/>
      <c r="EH20" s="176"/>
      <c r="EI20" s="176"/>
      <c r="EJ20" s="176"/>
      <c r="EK20" s="176"/>
      <c r="EL20" s="176"/>
      <c r="EM20" s="176"/>
      <c r="EN20" s="176"/>
      <c r="EO20" s="176"/>
      <c r="EP20" s="176"/>
      <c r="EQ20" s="176"/>
      <c r="ER20" s="176"/>
      <c r="ES20" s="176"/>
      <c r="ET20" s="176"/>
      <c r="EU20" s="176"/>
      <c r="EV20" s="176"/>
      <c r="EW20" s="176"/>
      <c r="EX20" s="176"/>
      <c r="EY20" s="176"/>
      <c r="EZ20" s="176"/>
      <c r="FA20" s="176"/>
      <c r="FB20" s="176"/>
      <c r="FC20" s="176"/>
      <c r="FD20" s="176"/>
      <c r="FE20" s="176"/>
      <c r="FF20" s="176"/>
      <c r="FG20" s="176"/>
      <c r="FH20" s="176"/>
      <c r="FI20" s="176"/>
      <c r="FJ20" s="176"/>
      <c r="FK20" s="176"/>
      <c r="FL20" s="176"/>
      <c r="FM20" s="176"/>
      <c r="FN20" s="176"/>
      <c r="FO20" s="176"/>
      <c r="FP20" s="176"/>
      <c r="FQ20" s="176"/>
      <c r="FR20" s="176"/>
      <c r="FS20" s="176"/>
      <c r="FT20" s="176"/>
      <c r="FU20" s="176"/>
      <c r="FV20" s="176"/>
      <c r="FW20" s="176"/>
      <c r="FX20" s="176"/>
      <c r="FY20" s="176"/>
      <c r="FZ20" s="176"/>
      <c r="GA20" s="176"/>
      <c r="GB20" s="176"/>
      <c r="GC20" s="176"/>
      <c r="GD20" s="176"/>
      <c r="GE20" s="176"/>
      <c r="GF20" s="176"/>
      <c r="GG20" s="176"/>
      <c r="GH20" s="176"/>
      <c r="GI20" s="176"/>
      <c r="GJ20" s="176"/>
      <c r="GK20" s="176"/>
    </row>
    <row r="21" spans="1:193" s="175" customFormat="1">
      <c r="A21" s="587" t="str">
        <f>'BANCO DADOS-CUSTO TOTAL'!C24</f>
        <v>Belo Horizonte</v>
      </c>
      <c r="B21" s="588" t="str">
        <f>'BANCO DADOS-CUSTO TOTAL'!H24</f>
        <v>BELTRANO 12350</v>
      </c>
      <c r="C21" s="588" t="str">
        <f>'BANCO DADOS-CUSTO TOTAL'!I24</f>
        <v>VIGILANTE ARMADO - 12X36 DIURNO</v>
      </c>
      <c r="D21" s="172"/>
      <c r="E21" s="589"/>
      <c r="F21" s="167">
        <v>42370</v>
      </c>
      <c r="G21" s="167">
        <v>42399</v>
      </c>
      <c r="H21" s="168">
        <f t="shared" si="16"/>
        <v>1869.08</v>
      </c>
      <c r="I21" s="169">
        <f>'BANCO DADOS-CUSTO TOTAL'!Y24</f>
        <v>2277.88</v>
      </c>
      <c r="J21" s="170">
        <f t="shared" si="17"/>
        <v>30</v>
      </c>
      <c r="K21" s="170">
        <f t="shared" si="18"/>
        <v>1</v>
      </c>
      <c r="L21" s="170">
        <f t="shared" si="19"/>
        <v>0</v>
      </c>
      <c r="M21" s="171">
        <f t="shared" si="20"/>
        <v>155.69436399999998</v>
      </c>
      <c r="N21" s="171">
        <f t="shared" si="21"/>
        <v>189.74740400000002</v>
      </c>
      <c r="O21" s="171">
        <f t="shared" si="22"/>
        <v>34.053040000000038</v>
      </c>
      <c r="P21" s="167">
        <f t="shared" si="23"/>
        <v>42370</v>
      </c>
      <c r="Q21" s="167">
        <f t="shared" si="24"/>
        <v>42399</v>
      </c>
      <c r="R21" s="168">
        <f t="shared" si="25"/>
        <v>1869.08</v>
      </c>
      <c r="S21" s="169">
        <f t="shared" si="26"/>
        <v>2277.88</v>
      </c>
      <c r="T21" s="170">
        <f t="shared" si="27"/>
        <v>30</v>
      </c>
      <c r="U21" s="170">
        <f t="shared" si="28"/>
        <v>1</v>
      </c>
      <c r="V21" s="170">
        <f t="shared" si="29"/>
        <v>0</v>
      </c>
      <c r="W21" s="171">
        <f t="shared" si="30"/>
        <v>207.654788</v>
      </c>
      <c r="X21" s="171">
        <f t="shared" si="31"/>
        <v>253.07246800000001</v>
      </c>
      <c r="Y21" s="171">
        <f t="shared" si="32"/>
        <v>45.417680000000018</v>
      </c>
      <c r="Z21" s="167">
        <f t="shared" si="33"/>
        <v>42370</v>
      </c>
      <c r="AA21" s="167">
        <f t="shared" si="34"/>
        <v>42399</v>
      </c>
      <c r="AB21" s="168">
        <f t="shared" si="35"/>
        <v>1869.08</v>
      </c>
      <c r="AC21" s="169">
        <f t="shared" si="36"/>
        <v>2277.88</v>
      </c>
      <c r="AD21" s="170">
        <f t="shared" si="37"/>
        <v>30</v>
      </c>
      <c r="AE21" s="170">
        <f t="shared" si="38"/>
        <v>1</v>
      </c>
      <c r="AF21" s="170">
        <f t="shared" si="39"/>
        <v>0</v>
      </c>
      <c r="AG21" s="171">
        <f t="shared" si="40"/>
        <v>80.370439999999988</v>
      </c>
      <c r="AH21" s="171">
        <f t="shared" si="41"/>
        <v>97.94883999999999</v>
      </c>
      <c r="AI21" s="171">
        <f t="shared" si="42"/>
        <v>17.578400000000002</v>
      </c>
      <c r="AJ21" s="167">
        <f t="shared" si="43"/>
        <v>42370</v>
      </c>
      <c r="AK21" s="167">
        <f t="shared" si="44"/>
        <v>42399</v>
      </c>
      <c r="AL21" s="168">
        <f t="shared" si="45"/>
        <v>1869.08</v>
      </c>
      <c r="AM21" s="169">
        <f t="shared" si="46"/>
        <v>2277.88</v>
      </c>
      <c r="AN21" s="170">
        <f t="shared" si="47"/>
        <v>30</v>
      </c>
      <c r="AO21" s="170">
        <f t="shared" si="48"/>
        <v>1</v>
      </c>
      <c r="AP21" s="170">
        <f t="shared" si="49"/>
        <v>0</v>
      </c>
      <c r="AQ21" s="171">
        <f t="shared" si="50"/>
        <v>57.295525951999991</v>
      </c>
      <c r="AR21" s="171">
        <f t="shared" si="51"/>
        <v>69.827044672</v>
      </c>
      <c r="AS21" s="171">
        <f t="shared" si="52"/>
        <v>12.531518720000008</v>
      </c>
      <c r="AT21" s="167">
        <f t="shared" si="53"/>
        <v>42370</v>
      </c>
      <c r="AU21" s="167">
        <f t="shared" si="54"/>
        <v>42399</v>
      </c>
      <c r="AV21" s="168">
        <f t="shared" si="55"/>
        <v>1869.08</v>
      </c>
      <c r="AW21" s="169">
        <f t="shared" si="56"/>
        <v>2277.88</v>
      </c>
      <c r="AX21" s="170">
        <f t="shared" si="57"/>
        <v>30</v>
      </c>
      <c r="AY21" s="170">
        <f t="shared" si="58"/>
        <v>1</v>
      </c>
      <c r="AZ21" s="170">
        <f t="shared" si="59"/>
        <v>0</v>
      </c>
      <c r="BA21" s="171">
        <f t="shared" si="60"/>
        <v>76.416961983999997</v>
      </c>
      <c r="BB21" s="171">
        <f t="shared" si="61"/>
        <v>93.130668224000004</v>
      </c>
      <c r="BC21" s="171">
        <f t="shared" si="62"/>
        <v>16.713706240000008</v>
      </c>
      <c r="BD21" s="171">
        <f t="shared" si="63"/>
        <v>126.29434496000007</v>
      </c>
      <c r="BT21" s="176"/>
      <c r="BU21" s="176"/>
      <c r="BV21" s="176"/>
      <c r="BW21" s="176"/>
      <c r="BX21" s="176"/>
      <c r="BY21" s="176"/>
      <c r="BZ21" s="176"/>
      <c r="CA21" s="176"/>
      <c r="CB21" s="176"/>
      <c r="CC21" s="176"/>
      <c r="CD21" s="176"/>
      <c r="CE21" s="176"/>
      <c r="CF21" s="176"/>
      <c r="CG21" s="176"/>
      <c r="CH21" s="176"/>
      <c r="CI21" s="176"/>
      <c r="CJ21" s="176"/>
      <c r="CK21" s="176"/>
      <c r="CL21" s="176"/>
      <c r="CM21" s="176"/>
      <c r="CN21" s="176"/>
      <c r="CO21" s="176"/>
      <c r="CP21" s="176"/>
      <c r="CQ21" s="176"/>
      <c r="CR21" s="176"/>
      <c r="CS21" s="176"/>
      <c r="CT21" s="176"/>
      <c r="CU21" s="176"/>
      <c r="CV21" s="176"/>
      <c r="CW21" s="176"/>
      <c r="CX21" s="176"/>
      <c r="CY21" s="176"/>
      <c r="CZ21" s="176"/>
      <c r="DA21" s="176"/>
      <c r="DB21" s="176"/>
      <c r="DC21" s="176"/>
      <c r="DD21" s="176"/>
      <c r="DE21" s="176"/>
      <c r="DF21" s="176"/>
      <c r="DG21" s="176"/>
      <c r="DH21" s="176"/>
      <c r="DI21" s="176"/>
      <c r="DJ21" s="176"/>
      <c r="DK21" s="176"/>
      <c r="DL21" s="176"/>
      <c r="DM21" s="176"/>
      <c r="DN21" s="176"/>
      <c r="DO21" s="176"/>
      <c r="DP21" s="176"/>
      <c r="DQ21" s="176"/>
      <c r="DR21" s="176"/>
      <c r="DS21" s="176"/>
      <c r="DT21" s="176"/>
      <c r="DU21" s="176"/>
      <c r="DV21" s="176"/>
      <c r="DW21" s="176"/>
      <c r="DX21" s="176"/>
      <c r="DY21" s="176"/>
      <c r="DZ21" s="176"/>
      <c r="EA21" s="176"/>
      <c r="EB21" s="176"/>
      <c r="EC21" s="176"/>
      <c r="ED21" s="176"/>
      <c r="EE21" s="176"/>
      <c r="EF21" s="176"/>
      <c r="EG21" s="176"/>
      <c r="EH21" s="176"/>
      <c r="EI21" s="176"/>
      <c r="EJ21" s="176"/>
      <c r="EK21" s="176"/>
      <c r="EL21" s="176"/>
      <c r="EM21" s="176"/>
      <c r="EN21" s="176"/>
      <c r="EO21" s="176"/>
      <c r="EP21" s="176"/>
      <c r="EQ21" s="176"/>
      <c r="ER21" s="176"/>
      <c r="ES21" s="176"/>
      <c r="ET21" s="176"/>
      <c r="EU21" s="176"/>
      <c r="EV21" s="176"/>
      <c r="EW21" s="176"/>
      <c r="EX21" s="176"/>
      <c r="EY21" s="176"/>
      <c r="EZ21" s="176"/>
      <c r="FA21" s="176"/>
      <c r="FB21" s="176"/>
      <c r="FC21" s="176"/>
      <c r="FD21" s="176"/>
      <c r="FE21" s="176"/>
      <c r="FF21" s="176"/>
      <c r="FG21" s="176"/>
      <c r="FH21" s="176"/>
      <c r="FI21" s="176"/>
      <c r="FJ21" s="176"/>
      <c r="FK21" s="176"/>
      <c r="FL21" s="176"/>
      <c r="FM21" s="176"/>
      <c r="FN21" s="176"/>
      <c r="FO21" s="176"/>
      <c r="FP21" s="176"/>
      <c r="FQ21" s="176"/>
      <c r="FR21" s="176"/>
      <c r="FS21" s="176"/>
      <c r="FT21" s="176"/>
      <c r="FU21" s="176"/>
      <c r="FV21" s="176"/>
      <c r="FW21" s="176"/>
      <c r="FX21" s="176"/>
      <c r="FY21" s="176"/>
      <c r="FZ21" s="176"/>
      <c r="GA21" s="176"/>
      <c r="GB21" s="176"/>
      <c r="GC21" s="176"/>
      <c r="GD21" s="176"/>
      <c r="GE21" s="176"/>
      <c r="GF21" s="176"/>
      <c r="GG21" s="176"/>
      <c r="GH21" s="176"/>
      <c r="GI21" s="176"/>
      <c r="GJ21" s="176"/>
      <c r="GK21" s="176"/>
    </row>
    <row r="22" spans="1:193" s="175" customFormat="1">
      <c r="A22" s="587" t="str">
        <f>'BANCO DADOS-CUSTO TOTAL'!C25</f>
        <v>Belo Horizonte</v>
      </c>
      <c r="B22" s="588" t="str">
        <f>'BANCO DADOS-CUSTO TOTAL'!H25</f>
        <v>BELTRANO 12351</v>
      </c>
      <c r="C22" s="588" t="str">
        <f>'BANCO DADOS-CUSTO TOTAL'!I25</f>
        <v>VIGILANTE ARMADO - 12X36 DIURNO</v>
      </c>
      <c r="D22" s="172"/>
      <c r="E22" s="589"/>
      <c r="F22" s="167">
        <v>42370</v>
      </c>
      <c r="G22" s="167">
        <v>42399</v>
      </c>
      <c r="H22" s="168">
        <f t="shared" si="16"/>
        <v>1869.08</v>
      </c>
      <c r="I22" s="169">
        <f>'BANCO DADOS-CUSTO TOTAL'!Y25</f>
        <v>2277.88</v>
      </c>
      <c r="J22" s="170">
        <f t="shared" si="17"/>
        <v>30</v>
      </c>
      <c r="K22" s="170">
        <f t="shared" si="18"/>
        <v>1</v>
      </c>
      <c r="L22" s="170">
        <f t="shared" si="19"/>
        <v>0</v>
      </c>
      <c r="M22" s="171">
        <f t="shared" si="20"/>
        <v>155.69436399999998</v>
      </c>
      <c r="N22" s="171">
        <f t="shared" si="21"/>
        <v>189.74740400000002</v>
      </c>
      <c r="O22" s="171">
        <f t="shared" si="22"/>
        <v>34.053040000000038</v>
      </c>
      <c r="P22" s="167">
        <f t="shared" si="23"/>
        <v>42370</v>
      </c>
      <c r="Q22" s="167">
        <f t="shared" si="24"/>
        <v>42399</v>
      </c>
      <c r="R22" s="168">
        <f t="shared" si="25"/>
        <v>1869.08</v>
      </c>
      <c r="S22" s="169">
        <f t="shared" si="26"/>
        <v>2277.88</v>
      </c>
      <c r="T22" s="170">
        <f t="shared" si="27"/>
        <v>30</v>
      </c>
      <c r="U22" s="170">
        <f t="shared" si="28"/>
        <v>1</v>
      </c>
      <c r="V22" s="170">
        <f t="shared" si="29"/>
        <v>0</v>
      </c>
      <c r="W22" s="171">
        <f t="shared" si="30"/>
        <v>207.654788</v>
      </c>
      <c r="X22" s="171">
        <f t="shared" si="31"/>
        <v>253.07246800000001</v>
      </c>
      <c r="Y22" s="171">
        <f t="shared" si="32"/>
        <v>45.417680000000018</v>
      </c>
      <c r="Z22" s="167">
        <f t="shared" si="33"/>
        <v>42370</v>
      </c>
      <c r="AA22" s="167">
        <f t="shared" si="34"/>
        <v>42399</v>
      </c>
      <c r="AB22" s="168">
        <f t="shared" si="35"/>
        <v>1869.08</v>
      </c>
      <c r="AC22" s="169">
        <f t="shared" si="36"/>
        <v>2277.88</v>
      </c>
      <c r="AD22" s="170">
        <f t="shared" si="37"/>
        <v>30</v>
      </c>
      <c r="AE22" s="170">
        <f t="shared" si="38"/>
        <v>1</v>
      </c>
      <c r="AF22" s="170">
        <f t="shared" si="39"/>
        <v>0</v>
      </c>
      <c r="AG22" s="171">
        <f t="shared" si="40"/>
        <v>80.370439999999988</v>
      </c>
      <c r="AH22" s="171">
        <f t="shared" si="41"/>
        <v>97.94883999999999</v>
      </c>
      <c r="AI22" s="171">
        <f t="shared" si="42"/>
        <v>17.578400000000002</v>
      </c>
      <c r="AJ22" s="167">
        <f t="shared" si="43"/>
        <v>42370</v>
      </c>
      <c r="AK22" s="167">
        <f t="shared" si="44"/>
        <v>42399</v>
      </c>
      <c r="AL22" s="168">
        <f t="shared" si="45"/>
        <v>1869.08</v>
      </c>
      <c r="AM22" s="169">
        <f t="shared" si="46"/>
        <v>2277.88</v>
      </c>
      <c r="AN22" s="170">
        <f t="shared" si="47"/>
        <v>30</v>
      </c>
      <c r="AO22" s="170">
        <f t="shared" si="48"/>
        <v>1</v>
      </c>
      <c r="AP22" s="170">
        <f t="shared" si="49"/>
        <v>0</v>
      </c>
      <c r="AQ22" s="171">
        <f t="shared" si="50"/>
        <v>57.295525951999991</v>
      </c>
      <c r="AR22" s="171">
        <f t="shared" si="51"/>
        <v>69.827044672</v>
      </c>
      <c r="AS22" s="171">
        <f t="shared" si="52"/>
        <v>12.531518720000008</v>
      </c>
      <c r="AT22" s="167">
        <f t="shared" si="53"/>
        <v>42370</v>
      </c>
      <c r="AU22" s="167">
        <f t="shared" si="54"/>
        <v>42399</v>
      </c>
      <c r="AV22" s="168">
        <f t="shared" si="55"/>
        <v>1869.08</v>
      </c>
      <c r="AW22" s="169">
        <f t="shared" si="56"/>
        <v>2277.88</v>
      </c>
      <c r="AX22" s="170">
        <f t="shared" si="57"/>
        <v>30</v>
      </c>
      <c r="AY22" s="170">
        <f t="shared" si="58"/>
        <v>1</v>
      </c>
      <c r="AZ22" s="170">
        <f t="shared" si="59"/>
        <v>0</v>
      </c>
      <c r="BA22" s="171">
        <f t="shared" si="60"/>
        <v>76.416961983999997</v>
      </c>
      <c r="BB22" s="171">
        <f t="shared" si="61"/>
        <v>93.130668224000004</v>
      </c>
      <c r="BC22" s="171">
        <f t="shared" si="62"/>
        <v>16.713706240000008</v>
      </c>
      <c r="BD22" s="171">
        <f t="shared" si="63"/>
        <v>126.29434496000007</v>
      </c>
      <c r="BT22" s="176"/>
      <c r="BU22" s="176"/>
      <c r="BV22" s="176"/>
      <c r="BW22" s="176"/>
      <c r="BX22" s="176"/>
      <c r="BY22" s="176"/>
      <c r="BZ22" s="176"/>
      <c r="CA22" s="176"/>
      <c r="CB22" s="176"/>
      <c r="CC22" s="176"/>
      <c r="CD22" s="176"/>
      <c r="CE22" s="176"/>
      <c r="CF22" s="176"/>
      <c r="CG22" s="176"/>
      <c r="CH22" s="176"/>
      <c r="CI22" s="176"/>
      <c r="CJ22" s="176"/>
      <c r="CK22" s="176"/>
      <c r="CL22" s="176"/>
      <c r="CM22" s="176"/>
      <c r="CN22" s="176"/>
      <c r="CO22" s="176"/>
      <c r="CP22" s="176"/>
      <c r="CQ22" s="176"/>
      <c r="CR22" s="176"/>
      <c r="CS22" s="176"/>
      <c r="CT22" s="176"/>
      <c r="CU22" s="176"/>
      <c r="CV22" s="176"/>
      <c r="CW22" s="176"/>
      <c r="CX22" s="176"/>
      <c r="CY22" s="176"/>
      <c r="CZ22" s="176"/>
      <c r="DA22" s="176"/>
      <c r="DB22" s="176"/>
      <c r="DC22" s="176"/>
      <c r="DD22" s="176"/>
      <c r="DE22" s="176"/>
      <c r="DF22" s="176"/>
      <c r="DG22" s="176"/>
      <c r="DH22" s="176"/>
      <c r="DI22" s="176"/>
      <c r="DJ22" s="176"/>
      <c r="DK22" s="176"/>
      <c r="DL22" s="176"/>
      <c r="DM22" s="176"/>
      <c r="DN22" s="176"/>
      <c r="DO22" s="176"/>
      <c r="DP22" s="176"/>
      <c r="DQ22" s="176"/>
      <c r="DR22" s="176"/>
      <c r="DS22" s="176"/>
      <c r="DT22" s="176"/>
      <c r="DU22" s="176"/>
      <c r="DV22" s="176"/>
      <c r="DW22" s="176"/>
      <c r="DX22" s="176"/>
      <c r="DY22" s="176"/>
      <c r="DZ22" s="176"/>
      <c r="EA22" s="176"/>
      <c r="EB22" s="176"/>
      <c r="EC22" s="176"/>
      <c r="ED22" s="176"/>
      <c r="EE22" s="176"/>
      <c r="EF22" s="176"/>
      <c r="EG22" s="176"/>
      <c r="EH22" s="176"/>
      <c r="EI22" s="176"/>
      <c r="EJ22" s="176"/>
      <c r="EK22" s="176"/>
      <c r="EL22" s="176"/>
      <c r="EM22" s="176"/>
      <c r="EN22" s="176"/>
      <c r="EO22" s="176"/>
      <c r="EP22" s="176"/>
      <c r="EQ22" s="176"/>
      <c r="ER22" s="176"/>
      <c r="ES22" s="176"/>
      <c r="ET22" s="176"/>
      <c r="EU22" s="176"/>
      <c r="EV22" s="176"/>
      <c r="EW22" s="176"/>
      <c r="EX22" s="176"/>
      <c r="EY22" s="176"/>
      <c r="EZ22" s="176"/>
      <c r="FA22" s="176"/>
      <c r="FB22" s="176"/>
      <c r="FC22" s="176"/>
      <c r="FD22" s="176"/>
      <c r="FE22" s="176"/>
      <c r="FF22" s="176"/>
      <c r="FG22" s="176"/>
      <c r="FH22" s="176"/>
      <c r="FI22" s="176"/>
      <c r="FJ22" s="176"/>
      <c r="FK22" s="176"/>
      <c r="FL22" s="176"/>
      <c r="FM22" s="176"/>
      <c r="FN22" s="176"/>
      <c r="FO22" s="176"/>
      <c r="FP22" s="176"/>
      <c r="FQ22" s="176"/>
      <c r="FR22" s="176"/>
      <c r="FS22" s="176"/>
      <c r="FT22" s="176"/>
      <c r="FU22" s="176"/>
      <c r="FV22" s="176"/>
      <c r="FW22" s="176"/>
      <c r="FX22" s="176"/>
      <c r="FY22" s="176"/>
      <c r="FZ22" s="176"/>
      <c r="GA22" s="176"/>
      <c r="GB22" s="176"/>
      <c r="GC22" s="176"/>
      <c r="GD22" s="176"/>
      <c r="GE22" s="176"/>
      <c r="GF22" s="176"/>
      <c r="GG22" s="176"/>
      <c r="GH22" s="176"/>
      <c r="GI22" s="176"/>
      <c r="GJ22" s="176"/>
      <c r="GK22" s="176"/>
    </row>
    <row r="23" spans="1:193" s="175" customFormat="1">
      <c r="A23" s="587" t="str">
        <f>'BANCO DADOS-CUSTO TOTAL'!C26</f>
        <v>Belo Horizonte</v>
      </c>
      <c r="B23" s="588" t="str">
        <f>'BANCO DADOS-CUSTO TOTAL'!H26</f>
        <v>BELTRANO 12352</v>
      </c>
      <c r="C23" s="588" t="str">
        <f>'BANCO DADOS-CUSTO TOTAL'!I26</f>
        <v>VIGILANTE ARMADO - 12X36 DIURNO</v>
      </c>
      <c r="D23" s="172"/>
      <c r="E23" s="589"/>
      <c r="F23" s="167">
        <v>42370</v>
      </c>
      <c r="G23" s="167">
        <v>42399</v>
      </c>
      <c r="H23" s="168">
        <f t="shared" si="16"/>
        <v>1869.08</v>
      </c>
      <c r="I23" s="169">
        <f>'BANCO DADOS-CUSTO TOTAL'!Y26</f>
        <v>2277.88</v>
      </c>
      <c r="J23" s="170">
        <f t="shared" si="17"/>
        <v>30</v>
      </c>
      <c r="K23" s="170">
        <f t="shared" si="18"/>
        <v>1</v>
      </c>
      <c r="L23" s="170">
        <f t="shared" si="19"/>
        <v>0</v>
      </c>
      <c r="M23" s="171">
        <f t="shared" si="20"/>
        <v>155.69436399999998</v>
      </c>
      <c r="N23" s="171">
        <f t="shared" si="21"/>
        <v>189.74740400000002</v>
      </c>
      <c r="O23" s="171">
        <f t="shared" si="22"/>
        <v>34.053040000000038</v>
      </c>
      <c r="P23" s="167">
        <f t="shared" si="23"/>
        <v>42370</v>
      </c>
      <c r="Q23" s="167">
        <f t="shared" si="24"/>
        <v>42399</v>
      </c>
      <c r="R23" s="168">
        <f t="shared" si="25"/>
        <v>1869.08</v>
      </c>
      <c r="S23" s="169">
        <f t="shared" si="26"/>
        <v>2277.88</v>
      </c>
      <c r="T23" s="170">
        <f t="shared" si="27"/>
        <v>30</v>
      </c>
      <c r="U23" s="170">
        <f t="shared" si="28"/>
        <v>1</v>
      </c>
      <c r="V23" s="170">
        <f t="shared" si="29"/>
        <v>0</v>
      </c>
      <c r="W23" s="171">
        <f t="shared" si="30"/>
        <v>207.654788</v>
      </c>
      <c r="X23" s="171">
        <f t="shared" si="31"/>
        <v>253.07246800000001</v>
      </c>
      <c r="Y23" s="171">
        <f t="shared" si="32"/>
        <v>45.417680000000018</v>
      </c>
      <c r="Z23" s="167">
        <f t="shared" si="33"/>
        <v>42370</v>
      </c>
      <c r="AA23" s="167">
        <f t="shared" si="34"/>
        <v>42399</v>
      </c>
      <c r="AB23" s="168">
        <f t="shared" si="35"/>
        <v>1869.08</v>
      </c>
      <c r="AC23" s="169">
        <f t="shared" si="36"/>
        <v>2277.88</v>
      </c>
      <c r="AD23" s="170">
        <f t="shared" si="37"/>
        <v>30</v>
      </c>
      <c r="AE23" s="170">
        <f t="shared" si="38"/>
        <v>1</v>
      </c>
      <c r="AF23" s="170">
        <f t="shared" si="39"/>
        <v>0</v>
      </c>
      <c r="AG23" s="171">
        <f t="shared" si="40"/>
        <v>80.370439999999988</v>
      </c>
      <c r="AH23" s="171">
        <f t="shared" si="41"/>
        <v>97.94883999999999</v>
      </c>
      <c r="AI23" s="171">
        <f t="shared" si="42"/>
        <v>17.578400000000002</v>
      </c>
      <c r="AJ23" s="167">
        <f t="shared" si="43"/>
        <v>42370</v>
      </c>
      <c r="AK23" s="167">
        <f t="shared" si="44"/>
        <v>42399</v>
      </c>
      <c r="AL23" s="168">
        <f t="shared" si="45"/>
        <v>1869.08</v>
      </c>
      <c r="AM23" s="169">
        <f t="shared" si="46"/>
        <v>2277.88</v>
      </c>
      <c r="AN23" s="170">
        <f t="shared" si="47"/>
        <v>30</v>
      </c>
      <c r="AO23" s="170">
        <f t="shared" si="48"/>
        <v>1</v>
      </c>
      <c r="AP23" s="170">
        <f t="shared" si="49"/>
        <v>0</v>
      </c>
      <c r="AQ23" s="171">
        <f t="shared" si="50"/>
        <v>57.295525951999991</v>
      </c>
      <c r="AR23" s="171">
        <f t="shared" si="51"/>
        <v>69.827044672</v>
      </c>
      <c r="AS23" s="171">
        <f t="shared" si="52"/>
        <v>12.531518720000008</v>
      </c>
      <c r="AT23" s="167">
        <f t="shared" si="53"/>
        <v>42370</v>
      </c>
      <c r="AU23" s="167">
        <f t="shared" si="54"/>
        <v>42399</v>
      </c>
      <c r="AV23" s="168">
        <f t="shared" si="55"/>
        <v>1869.08</v>
      </c>
      <c r="AW23" s="169">
        <f t="shared" si="56"/>
        <v>2277.88</v>
      </c>
      <c r="AX23" s="170">
        <f t="shared" si="57"/>
        <v>30</v>
      </c>
      <c r="AY23" s="170">
        <f t="shared" si="58"/>
        <v>1</v>
      </c>
      <c r="AZ23" s="170">
        <f t="shared" si="59"/>
        <v>0</v>
      </c>
      <c r="BA23" s="171">
        <f t="shared" si="60"/>
        <v>76.416961983999997</v>
      </c>
      <c r="BB23" s="171">
        <f t="shared" si="61"/>
        <v>93.130668224000004</v>
      </c>
      <c r="BC23" s="171">
        <f t="shared" si="62"/>
        <v>16.713706240000008</v>
      </c>
      <c r="BD23" s="171">
        <f t="shared" si="63"/>
        <v>126.29434496000007</v>
      </c>
      <c r="BT23" s="176"/>
      <c r="BU23" s="176"/>
      <c r="BV23" s="176"/>
      <c r="BW23" s="176"/>
      <c r="BX23" s="176"/>
      <c r="BY23" s="176"/>
      <c r="BZ23" s="176"/>
      <c r="CA23" s="176"/>
      <c r="CB23" s="176"/>
      <c r="CC23" s="176"/>
      <c r="CD23" s="176"/>
      <c r="CE23" s="176"/>
      <c r="CF23" s="176"/>
      <c r="CG23" s="176"/>
      <c r="CH23" s="176"/>
      <c r="CI23" s="176"/>
      <c r="CJ23" s="176"/>
      <c r="CK23" s="176"/>
      <c r="CL23" s="176"/>
      <c r="CM23" s="176"/>
      <c r="CN23" s="176"/>
      <c r="CO23" s="176"/>
      <c r="CP23" s="176"/>
      <c r="CQ23" s="176"/>
      <c r="CR23" s="176"/>
      <c r="CS23" s="176"/>
      <c r="CT23" s="176"/>
      <c r="CU23" s="176"/>
      <c r="CV23" s="176"/>
      <c r="CW23" s="176"/>
      <c r="CX23" s="176"/>
      <c r="CY23" s="176"/>
      <c r="CZ23" s="176"/>
      <c r="DA23" s="176"/>
      <c r="DB23" s="176"/>
      <c r="DC23" s="176"/>
      <c r="DD23" s="176"/>
      <c r="DE23" s="176"/>
      <c r="DF23" s="176"/>
      <c r="DG23" s="176"/>
      <c r="DH23" s="176"/>
      <c r="DI23" s="176"/>
      <c r="DJ23" s="176"/>
      <c r="DK23" s="176"/>
      <c r="DL23" s="176"/>
      <c r="DM23" s="176"/>
      <c r="DN23" s="176"/>
      <c r="DO23" s="176"/>
      <c r="DP23" s="176"/>
      <c r="DQ23" s="176"/>
      <c r="DR23" s="176"/>
      <c r="DS23" s="176"/>
      <c r="DT23" s="176"/>
      <c r="DU23" s="176"/>
      <c r="DV23" s="176"/>
      <c r="DW23" s="176"/>
      <c r="DX23" s="176"/>
      <c r="DY23" s="176"/>
      <c r="DZ23" s="176"/>
      <c r="EA23" s="176"/>
      <c r="EB23" s="176"/>
      <c r="EC23" s="176"/>
      <c r="ED23" s="176"/>
      <c r="EE23" s="176"/>
      <c r="EF23" s="176"/>
      <c r="EG23" s="176"/>
      <c r="EH23" s="176"/>
      <c r="EI23" s="176"/>
      <c r="EJ23" s="176"/>
      <c r="EK23" s="176"/>
      <c r="EL23" s="176"/>
      <c r="EM23" s="176"/>
      <c r="EN23" s="176"/>
      <c r="EO23" s="176"/>
      <c r="EP23" s="176"/>
      <c r="EQ23" s="176"/>
      <c r="ER23" s="176"/>
      <c r="ES23" s="176"/>
      <c r="ET23" s="176"/>
      <c r="EU23" s="176"/>
      <c r="EV23" s="176"/>
      <c r="EW23" s="176"/>
      <c r="EX23" s="176"/>
      <c r="EY23" s="176"/>
      <c r="EZ23" s="176"/>
      <c r="FA23" s="176"/>
      <c r="FB23" s="176"/>
      <c r="FC23" s="176"/>
      <c r="FD23" s="176"/>
      <c r="FE23" s="176"/>
      <c r="FF23" s="176"/>
      <c r="FG23" s="176"/>
      <c r="FH23" s="176"/>
      <c r="FI23" s="176"/>
      <c r="FJ23" s="176"/>
      <c r="FK23" s="176"/>
      <c r="FL23" s="176"/>
      <c r="FM23" s="176"/>
      <c r="FN23" s="176"/>
      <c r="FO23" s="176"/>
      <c r="FP23" s="176"/>
      <c r="FQ23" s="176"/>
      <c r="FR23" s="176"/>
      <c r="FS23" s="176"/>
      <c r="FT23" s="176"/>
      <c r="FU23" s="176"/>
      <c r="FV23" s="176"/>
      <c r="FW23" s="176"/>
      <c r="FX23" s="176"/>
      <c r="FY23" s="176"/>
      <c r="FZ23" s="176"/>
      <c r="GA23" s="176"/>
      <c r="GB23" s="176"/>
      <c r="GC23" s="176"/>
      <c r="GD23" s="176"/>
      <c r="GE23" s="176"/>
      <c r="GF23" s="176"/>
      <c r="GG23" s="176"/>
      <c r="GH23" s="176"/>
      <c r="GI23" s="176"/>
      <c r="GJ23" s="176"/>
      <c r="GK23" s="176"/>
    </row>
    <row r="24" spans="1:193" s="174" customFormat="1">
      <c r="A24" s="587" t="str">
        <f>'BANCO DADOS-CUSTO TOTAL'!C27</f>
        <v>Belo Horizonte</v>
      </c>
      <c r="B24" s="588" t="str">
        <f>'BANCO DADOS-CUSTO TOTAL'!H27</f>
        <v>BELTRANO 124280</v>
      </c>
      <c r="C24" s="588" t="str">
        <f>'BANCO DADOS-CUSTO TOTAL'!I27</f>
        <v>VIGILANTE ARMADO - 12X36 DIURNO</v>
      </c>
      <c r="D24" s="590"/>
      <c r="E24" s="590"/>
      <c r="F24" s="167"/>
      <c r="G24" s="167"/>
      <c r="H24" s="168"/>
      <c r="I24" s="169"/>
      <c r="J24" s="170">
        <f t="shared" si="17"/>
        <v>0</v>
      </c>
      <c r="K24" s="170">
        <f t="shared" si="18"/>
        <v>0</v>
      </c>
      <c r="L24" s="170">
        <f t="shared" si="19"/>
        <v>0</v>
      </c>
      <c r="M24" s="171">
        <f t="shared" si="20"/>
        <v>0</v>
      </c>
      <c r="N24" s="171">
        <f t="shared" si="21"/>
        <v>0</v>
      </c>
      <c r="O24" s="171">
        <f t="shared" si="22"/>
        <v>0</v>
      </c>
      <c r="P24" s="167">
        <f t="shared" si="23"/>
        <v>0</v>
      </c>
      <c r="Q24" s="167">
        <f t="shared" si="24"/>
        <v>0</v>
      </c>
      <c r="R24" s="168">
        <f t="shared" si="25"/>
        <v>0</v>
      </c>
      <c r="S24" s="169">
        <f t="shared" si="26"/>
        <v>0</v>
      </c>
      <c r="T24" s="170">
        <f t="shared" si="27"/>
        <v>1</v>
      </c>
      <c r="U24" s="170">
        <f t="shared" si="28"/>
        <v>0</v>
      </c>
      <c r="V24" s="170">
        <f t="shared" si="29"/>
        <v>1</v>
      </c>
      <c r="W24" s="171">
        <f t="shared" si="30"/>
        <v>0</v>
      </c>
      <c r="X24" s="171">
        <f t="shared" si="31"/>
        <v>0</v>
      </c>
      <c r="Y24" s="171">
        <f t="shared" si="32"/>
        <v>0</v>
      </c>
      <c r="Z24" s="167">
        <f t="shared" si="33"/>
        <v>0</v>
      </c>
      <c r="AA24" s="167">
        <f t="shared" si="34"/>
        <v>0</v>
      </c>
      <c r="AB24" s="168">
        <f t="shared" si="35"/>
        <v>0</v>
      </c>
      <c r="AC24" s="169">
        <f t="shared" si="36"/>
        <v>0</v>
      </c>
      <c r="AD24" s="170">
        <f t="shared" si="37"/>
        <v>1</v>
      </c>
      <c r="AE24" s="170">
        <f t="shared" si="38"/>
        <v>0</v>
      </c>
      <c r="AF24" s="170">
        <f t="shared" si="39"/>
        <v>1</v>
      </c>
      <c r="AG24" s="171">
        <f t="shared" si="40"/>
        <v>0</v>
      </c>
      <c r="AH24" s="171">
        <f t="shared" si="41"/>
        <v>0</v>
      </c>
      <c r="AI24" s="171">
        <f t="shared" si="42"/>
        <v>0</v>
      </c>
      <c r="AJ24" s="167">
        <f t="shared" si="43"/>
        <v>0</v>
      </c>
      <c r="AK24" s="167">
        <f t="shared" si="44"/>
        <v>0</v>
      </c>
      <c r="AL24" s="168">
        <f t="shared" si="45"/>
        <v>0</v>
      </c>
      <c r="AM24" s="169">
        <f t="shared" si="46"/>
        <v>0</v>
      </c>
      <c r="AN24" s="170">
        <f t="shared" si="47"/>
        <v>1</v>
      </c>
      <c r="AO24" s="170">
        <f t="shared" si="48"/>
        <v>0</v>
      </c>
      <c r="AP24" s="170">
        <f t="shared" si="49"/>
        <v>1</v>
      </c>
      <c r="AQ24" s="171">
        <f t="shared" si="50"/>
        <v>0</v>
      </c>
      <c r="AR24" s="171">
        <f t="shared" si="51"/>
        <v>0</v>
      </c>
      <c r="AS24" s="171">
        <f t="shared" si="52"/>
        <v>0</v>
      </c>
      <c r="AT24" s="167">
        <f t="shared" si="53"/>
        <v>0</v>
      </c>
      <c r="AU24" s="167">
        <f t="shared" si="54"/>
        <v>0</v>
      </c>
      <c r="AV24" s="168">
        <f t="shared" si="55"/>
        <v>0</v>
      </c>
      <c r="AW24" s="169">
        <f t="shared" si="56"/>
        <v>0</v>
      </c>
      <c r="AX24" s="170">
        <f t="shared" si="57"/>
        <v>1</v>
      </c>
      <c r="AY24" s="170">
        <f t="shared" si="58"/>
        <v>0</v>
      </c>
      <c r="AZ24" s="170">
        <f t="shared" si="59"/>
        <v>1</v>
      </c>
      <c r="BA24" s="171">
        <f t="shared" si="60"/>
        <v>0</v>
      </c>
      <c r="BB24" s="171">
        <f t="shared" si="61"/>
        <v>0</v>
      </c>
      <c r="BC24" s="171">
        <f t="shared" si="62"/>
        <v>0</v>
      </c>
      <c r="BD24" s="171">
        <f t="shared" si="63"/>
        <v>0</v>
      </c>
      <c r="BE24" s="173"/>
      <c r="BF24" s="173"/>
      <c r="BG24" s="173"/>
      <c r="BH24" s="173"/>
      <c r="BI24" s="173"/>
      <c r="BJ24" s="173"/>
      <c r="BK24" s="173"/>
      <c r="BL24" s="173"/>
      <c r="BM24" s="173"/>
      <c r="BN24" s="173"/>
      <c r="BO24" s="173"/>
      <c r="BP24" s="173"/>
      <c r="BQ24" s="173"/>
      <c r="BR24" s="173"/>
      <c r="BS24" s="173"/>
      <c r="BT24" s="173"/>
      <c r="BU24" s="173"/>
      <c r="BV24" s="173"/>
      <c r="BW24" s="173"/>
      <c r="BX24" s="173"/>
      <c r="BY24" s="173"/>
      <c r="BZ24" s="173"/>
      <c r="CA24" s="173"/>
      <c r="CB24" s="173"/>
      <c r="CC24" s="173"/>
      <c r="CD24" s="173"/>
      <c r="CE24" s="173"/>
      <c r="CF24" s="173"/>
      <c r="CG24" s="173"/>
      <c r="CH24" s="173"/>
      <c r="CI24" s="173"/>
      <c r="CJ24" s="173"/>
      <c r="CK24" s="173"/>
      <c r="CL24" s="173"/>
      <c r="CM24" s="173"/>
      <c r="CN24" s="173"/>
      <c r="CO24" s="173"/>
      <c r="CP24" s="173"/>
      <c r="CQ24" s="173"/>
      <c r="CR24" s="173"/>
      <c r="CS24" s="173"/>
      <c r="CT24" s="173"/>
      <c r="CU24" s="173"/>
      <c r="CV24" s="173"/>
      <c r="CW24" s="173"/>
      <c r="CX24" s="173"/>
      <c r="CY24" s="173"/>
      <c r="CZ24" s="173"/>
      <c r="DA24" s="173"/>
      <c r="DB24" s="173"/>
      <c r="DC24" s="173"/>
      <c r="DD24" s="173"/>
      <c r="DE24" s="173"/>
      <c r="DF24" s="173"/>
      <c r="DG24" s="173"/>
      <c r="DH24" s="173"/>
      <c r="DI24" s="173"/>
      <c r="DJ24" s="173"/>
      <c r="DK24" s="173"/>
      <c r="DL24" s="173"/>
      <c r="DM24" s="173"/>
      <c r="DN24" s="173"/>
      <c r="DO24" s="173"/>
      <c r="DP24" s="173"/>
      <c r="DQ24" s="173"/>
      <c r="DR24" s="173"/>
      <c r="DS24" s="173"/>
      <c r="DT24" s="173"/>
      <c r="DU24" s="173"/>
      <c r="DV24" s="173"/>
      <c r="DW24" s="173"/>
      <c r="DX24" s="173"/>
      <c r="DY24" s="173"/>
      <c r="DZ24" s="173"/>
      <c r="EA24" s="173"/>
      <c r="EB24" s="173"/>
      <c r="EC24" s="173"/>
      <c r="ED24" s="173"/>
      <c r="EE24" s="173"/>
      <c r="EF24" s="173"/>
      <c r="EG24" s="173"/>
      <c r="EH24" s="173"/>
      <c r="EI24" s="173"/>
      <c r="EJ24" s="173"/>
      <c r="EK24" s="173"/>
      <c r="EL24" s="173"/>
      <c r="EM24" s="173"/>
      <c r="EN24" s="173"/>
      <c r="EO24" s="173"/>
      <c r="EP24" s="173"/>
      <c r="EQ24" s="173"/>
      <c r="ER24" s="173"/>
      <c r="ES24" s="173"/>
      <c r="ET24" s="173"/>
      <c r="EU24" s="173"/>
      <c r="EV24" s="173"/>
      <c r="EW24" s="173"/>
      <c r="EX24" s="173"/>
      <c r="EY24" s="173"/>
      <c r="EZ24" s="173"/>
      <c r="FA24" s="173"/>
      <c r="FB24" s="173"/>
      <c r="FC24" s="173"/>
      <c r="FD24" s="173"/>
      <c r="FE24" s="173"/>
      <c r="FF24" s="173"/>
      <c r="FG24" s="173"/>
      <c r="FH24" s="173"/>
      <c r="FI24" s="173"/>
      <c r="FJ24" s="173"/>
      <c r="FK24" s="173"/>
      <c r="FL24" s="173"/>
      <c r="FM24" s="173"/>
      <c r="FN24" s="173"/>
      <c r="FO24" s="173"/>
      <c r="FP24" s="173"/>
      <c r="FQ24" s="173"/>
      <c r="FR24" s="173"/>
      <c r="FS24" s="173"/>
      <c r="FT24" s="173"/>
      <c r="FU24" s="173"/>
      <c r="FV24" s="173"/>
      <c r="FW24" s="173"/>
      <c r="FX24" s="173"/>
      <c r="FY24" s="173"/>
      <c r="FZ24" s="173"/>
      <c r="GA24" s="173"/>
      <c r="GB24" s="173"/>
      <c r="GC24" s="173"/>
      <c r="GD24" s="173"/>
      <c r="GE24" s="173"/>
      <c r="GF24" s="173"/>
      <c r="GG24" s="173"/>
      <c r="GH24" s="173"/>
      <c r="GI24" s="173"/>
      <c r="GJ24" s="173"/>
      <c r="GK24" s="173"/>
    </row>
    <row r="25" spans="1:193">
      <c r="A25" s="587" t="str">
        <f>'BANCO DADOS-CUSTO TOTAL'!C28</f>
        <v>Belo Horizonte</v>
      </c>
      <c r="B25" s="588" t="str">
        <f>'BANCO DADOS-CUSTO TOTAL'!H28</f>
        <v>BELTRANO 12353</v>
      </c>
      <c r="C25" s="588" t="str">
        <f>'BANCO DADOS-CUSTO TOTAL'!I28</f>
        <v>VIGILANTE ARMADO - 12X36 DIURNO</v>
      </c>
      <c r="D25" s="172"/>
      <c r="E25" s="172"/>
      <c r="F25" s="167">
        <v>42370</v>
      </c>
      <c r="G25" s="167">
        <v>42399</v>
      </c>
      <c r="H25" s="168">
        <f t="shared" si="16"/>
        <v>1869.08</v>
      </c>
      <c r="I25" s="169">
        <f>'BANCO DADOS-CUSTO TOTAL'!Y28</f>
        <v>2277.88</v>
      </c>
      <c r="J25" s="170">
        <f t="shared" si="17"/>
        <v>30</v>
      </c>
      <c r="K25" s="170">
        <f t="shared" si="18"/>
        <v>1</v>
      </c>
      <c r="L25" s="170">
        <f t="shared" si="19"/>
        <v>0</v>
      </c>
      <c r="M25" s="171">
        <f t="shared" si="20"/>
        <v>155.69436399999998</v>
      </c>
      <c r="N25" s="171">
        <f t="shared" si="21"/>
        <v>189.74740400000002</v>
      </c>
      <c r="O25" s="171">
        <f t="shared" si="22"/>
        <v>34.053040000000038</v>
      </c>
      <c r="P25" s="167">
        <f t="shared" si="23"/>
        <v>42370</v>
      </c>
      <c r="Q25" s="167">
        <f t="shared" si="24"/>
        <v>42399</v>
      </c>
      <c r="R25" s="168">
        <f t="shared" si="25"/>
        <v>1869.08</v>
      </c>
      <c r="S25" s="169">
        <f t="shared" si="26"/>
        <v>2277.88</v>
      </c>
      <c r="T25" s="170">
        <f t="shared" si="27"/>
        <v>30</v>
      </c>
      <c r="U25" s="170">
        <f t="shared" si="28"/>
        <v>1</v>
      </c>
      <c r="V25" s="170">
        <f t="shared" si="29"/>
        <v>0</v>
      </c>
      <c r="W25" s="171">
        <f t="shared" si="30"/>
        <v>207.654788</v>
      </c>
      <c r="X25" s="171">
        <f t="shared" si="31"/>
        <v>253.07246800000001</v>
      </c>
      <c r="Y25" s="171">
        <f t="shared" si="32"/>
        <v>45.417680000000018</v>
      </c>
      <c r="Z25" s="167">
        <f t="shared" si="33"/>
        <v>42370</v>
      </c>
      <c r="AA25" s="167">
        <f t="shared" si="34"/>
        <v>42399</v>
      </c>
      <c r="AB25" s="168">
        <f t="shared" si="35"/>
        <v>1869.08</v>
      </c>
      <c r="AC25" s="169">
        <f t="shared" si="36"/>
        <v>2277.88</v>
      </c>
      <c r="AD25" s="170">
        <f t="shared" si="37"/>
        <v>30</v>
      </c>
      <c r="AE25" s="170">
        <f t="shared" si="38"/>
        <v>1</v>
      </c>
      <c r="AF25" s="170">
        <f t="shared" si="39"/>
        <v>0</v>
      </c>
      <c r="AG25" s="171">
        <f t="shared" si="40"/>
        <v>80.370439999999988</v>
      </c>
      <c r="AH25" s="171">
        <f t="shared" si="41"/>
        <v>97.94883999999999</v>
      </c>
      <c r="AI25" s="171">
        <f t="shared" si="42"/>
        <v>17.578400000000002</v>
      </c>
      <c r="AJ25" s="167">
        <f t="shared" si="43"/>
        <v>42370</v>
      </c>
      <c r="AK25" s="167">
        <f t="shared" si="44"/>
        <v>42399</v>
      </c>
      <c r="AL25" s="168">
        <f t="shared" si="45"/>
        <v>1869.08</v>
      </c>
      <c r="AM25" s="169">
        <f t="shared" si="46"/>
        <v>2277.88</v>
      </c>
      <c r="AN25" s="170">
        <f t="shared" si="47"/>
        <v>30</v>
      </c>
      <c r="AO25" s="170">
        <f t="shared" si="48"/>
        <v>1</v>
      </c>
      <c r="AP25" s="170">
        <f t="shared" si="49"/>
        <v>0</v>
      </c>
      <c r="AQ25" s="171">
        <f t="shared" si="50"/>
        <v>57.295525951999991</v>
      </c>
      <c r="AR25" s="171">
        <f t="shared" si="51"/>
        <v>69.827044672</v>
      </c>
      <c r="AS25" s="171">
        <f t="shared" si="52"/>
        <v>12.531518720000008</v>
      </c>
      <c r="AT25" s="167">
        <f t="shared" si="53"/>
        <v>42370</v>
      </c>
      <c r="AU25" s="167">
        <f t="shared" si="54"/>
        <v>42399</v>
      </c>
      <c r="AV25" s="168">
        <f t="shared" si="55"/>
        <v>1869.08</v>
      </c>
      <c r="AW25" s="169">
        <f t="shared" si="56"/>
        <v>2277.88</v>
      </c>
      <c r="AX25" s="170">
        <f t="shared" si="57"/>
        <v>30</v>
      </c>
      <c r="AY25" s="170">
        <f t="shared" si="58"/>
        <v>1</v>
      </c>
      <c r="AZ25" s="170">
        <f t="shared" si="59"/>
        <v>0</v>
      </c>
      <c r="BA25" s="171">
        <f t="shared" si="60"/>
        <v>76.416961983999997</v>
      </c>
      <c r="BB25" s="171">
        <f t="shared" si="61"/>
        <v>93.130668224000004</v>
      </c>
      <c r="BC25" s="171">
        <f t="shared" si="62"/>
        <v>16.713706240000008</v>
      </c>
      <c r="BD25" s="171">
        <f t="shared" si="63"/>
        <v>126.29434496000007</v>
      </c>
    </row>
    <row r="26" spans="1:193">
      <c r="A26" s="587" t="str">
        <f>'BANCO DADOS-CUSTO TOTAL'!C29</f>
        <v>Belo Horizonte</v>
      </c>
      <c r="B26" s="588" t="str">
        <f>'BANCO DADOS-CUSTO TOTAL'!H29</f>
        <v>BELTRANO 12354</v>
      </c>
      <c r="C26" s="588" t="str">
        <f>'BANCO DADOS-CUSTO TOTAL'!I29</f>
        <v>VIGILANTE ARMADO - 12X36 DIURNO</v>
      </c>
      <c r="D26" s="172"/>
      <c r="E26" s="172"/>
      <c r="F26" s="167">
        <v>42370</v>
      </c>
      <c r="G26" s="167">
        <v>42399</v>
      </c>
      <c r="H26" s="168">
        <f t="shared" si="16"/>
        <v>1869.08</v>
      </c>
      <c r="I26" s="169">
        <f>'BANCO DADOS-CUSTO TOTAL'!Y29</f>
        <v>2277.88</v>
      </c>
      <c r="J26" s="170">
        <f t="shared" si="17"/>
        <v>30</v>
      </c>
      <c r="K26" s="170">
        <f t="shared" si="18"/>
        <v>1</v>
      </c>
      <c r="L26" s="170">
        <f t="shared" si="19"/>
        <v>0</v>
      </c>
      <c r="M26" s="171">
        <f t="shared" si="20"/>
        <v>155.69436399999998</v>
      </c>
      <c r="N26" s="171">
        <f t="shared" si="21"/>
        <v>189.74740400000002</v>
      </c>
      <c r="O26" s="171">
        <f t="shared" si="22"/>
        <v>34.053040000000038</v>
      </c>
      <c r="P26" s="167">
        <f t="shared" si="23"/>
        <v>42370</v>
      </c>
      <c r="Q26" s="167">
        <f t="shared" si="24"/>
        <v>42399</v>
      </c>
      <c r="R26" s="168">
        <f t="shared" si="25"/>
        <v>1869.08</v>
      </c>
      <c r="S26" s="169">
        <f t="shared" si="26"/>
        <v>2277.88</v>
      </c>
      <c r="T26" s="170">
        <f t="shared" si="27"/>
        <v>30</v>
      </c>
      <c r="U26" s="170">
        <f t="shared" si="28"/>
        <v>1</v>
      </c>
      <c r="V26" s="170">
        <f t="shared" si="29"/>
        <v>0</v>
      </c>
      <c r="W26" s="171">
        <f t="shared" si="30"/>
        <v>207.654788</v>
      </c>
      <c r="X26" s="171">
        <f t="shared" si="31"/>
        <v>253.07246800000001</v>
      </c>
      <c r="Y26" s="171">
        <f t="shared" si="32"/>
        <v>45.417680000000018</v>
      </c>
      <c r="Z26" s="167">
        <f t="shared" si="33"/>
        <v>42370</v>
      </c>
      <c r="AA26" s="167">
        <f t="shared" si="34"/>
        <v>42399</v>
      </c>
      <c r="AB26" s="168">
        <f t="shared" si="35"/>
        <v>1869.08</v>
      </c>
      <c r="AC26" s="169">
        <f t="shared" si="36"/>
        <v>2277.88</v>
      </c>
      <c r="AD26" s="170">
        <f t="shared" si="37"/>
        <v>30</v>
      </c>
      <c r="AE26" s="170">
        <f t="shared" si="38"/>
        <v>1</v>
      </c>
      <c r="AF26" s="170">
        <f t="shared" si="39"/>
        <v>0</v>
      </c>
      <c r="AG26" s="171">
        <f t="shared" si="40"/>
        <v>80.370439999999988</v>
      </c>
      <c r="AH26" s="171">
        <f t="shared" si="41"/>
        <v>97.94883999999999</v>
      </c>
      <c r="AI26" s="171">
        <f t="shared" si="42"/>
        <v>17.578400000000002</v>
      </c>
      <c r="AJ26" s="167">
        <f t="shared" si="43"/>
        <v>42370</v>
      </c>
      <c r="AK26" s="167">
        <f t="shared" si="44"/>
        <v>42399</v>
      </c>
      <c r="AL26" s="168">
        <f t="shared" si="45"/>
        <v>1869.08</v>
      </c>
      <c r="AM26" s="169">
        <f t="shared" si="46"/>
        <v>2277.88</v>
      </c>
      <c r="AN26" s="170">
        <f t="shared" si="47"/>
        <v>30</v>
      </c>
      <c r="AO26" s="170">
        <f t="shared" si="48"/>
        <v>1</v>
      </c>
      <c r="AP26" s="170">
        <f t="shared" si="49"/>
        <v>0</v>
      </c>
      <c r="AQ26" s="171">
        <f t="shared" si="50"/>
        <v>57.295525951999991</v>
      </c>
      <c r="AR26" s="171">
        <f t="shared" si="51"/>
        <v>69.827044672</v>
      </c>
      <c r="AS26" s="171">
        <f t="shared" si="52"/>
        <v>12.531518720000008</v>
      </c>
      <c r="AT26" s="167">
        <f t="shared" si="53"/>
        <v>42370</v>
      </c>
      <c r="AU26" s="167">
        <f t="shared" si="54"/>
        <v>42399</v>
      </c>
      <c r="AV26" s="168">
        <f t="shared" si="55"/>
        <v>1869.08</v>
      </c>
      <c r="AW26" s="169">
        <f t="shared" si="56"/>
        <v>2277.88</v>
      </c>
      <c r="AX26" s="170">
        <f t="shared" si="57"/>
        <v>30</v>
      </c>
      <c r="AY26" s="170">
        <f t="shared" si="58"/>
        <v>1</v>
      </c>
      <c r="AZ26" s="170">
        <f t="shared" si="59"/>
        <v>0</v>
      </c>
      <c r="BA26" s="171">
        <f t="shared" si="60"/>
        <v>76.416961983999997</v>
      </c>
      <c r="BB26" s="171">
        <f t="shared" si="61"/>
        <v>93.130668224000004</v>
      </c>
      <c r="BC26" s="171">
        <f t="shared" si="62"/>
        <v>16.713706240000008</v>
      </c>
      <c r="BD26" s="171">
        <f t="shared" si="63"/>
        <v>126.29434496000007</v>
      </c>
    </row>
    <row r="27" spans="1:193">
      <c r="A27" s="587" t="str">
        <f>'BANCO DADOS-CUSTO TOTAL'!C30</f>
        <v>Belo Horizonte</v>
      </c>
      <c r="B27" s="588" t="str">
        <f>'BANCO DADOS-CUSTO TOTAL'!H30</f>
        <v>BELTRANO 12355</v>
      </c>
      <c r="C27" s="588" t="str">
        <f>'BANCO DADOS-CUSTO TOTAL'!I30</f>
        <v>VIGILANTE ARMADO - 12X36 DIURNO</v>
      </c>
      <c r="D27" s="172"/>
      <c r="E27" s="172"/>
      <c r="F27" s="167">
        <v>42370</v>
      </c>
      <c r="G27" s="167">
        <v>42399</v>
      </c>
      <c r="H27" s="168">
        <f t="shared" si="16"/>
        <v>1869.08</v>
      </c>
      <c r="I27" s="169">
        <f>'BANCO DADOS-CUSTO TOTAL'!Y30</f>
        <v>2277.88</v>
      </c>
      <c r="J27" s="170">
        <f t="shared" si="17"/>
        <v>30</v>
      </c>
      <c r="K27" s="170">
        <f t="shared" si="18"/>
        <v>1</v>
      </c>
      <c r="L27" s="170">
        <f t="shared" si="19"/>
        <v>0</v>
      </c>
      <c r="M27" s="171">
        <f t="shared" si="20"/>
        <v>155.69436399999998</v>
      </c>
      <c r="N27" s="171">
        <f t="shared" si="21"/>
        <v>189.74740400000002</v>
      </c>
      <c r="O27" s="171">
        <f t="shared" si="22"/>
        <v>34.053040000000038</v>
      </c>
      <c r="P27" s="167">
        <f t="shared" si="23"/>
        <v>42370</v>
      </c>
      <c r="Q27" s="167">
        <f t="shared" si="24"/>
        <v>42399</v>
      </c>
      <c r="R27" s="168">
        <f t="shared" si="25"/>
        <v>1869.08</v>
      </c>
      <c r="S27" s="169">
        <f t="shared" si="26"/>
        <v>2277.88</v>
      </c>
      <c r="T27" s="170">
        <f t="shared" si="27"/>
        <v>30</v>
      </c>
      <c r="U27" s="170">
        <f t="shared" si="28"/>
        <v>1</v>
      </c>
      <c r="V27" s="170">
        <f t="shared" si="29"/>
        <v>0</v>
      </c>
      <c r="W27" s="171">
        <f t="shared" si="30"/>
        <v>207.654788</v>
      </c>
      <c r="X27" s="171">
        <f t="shared" si="31"/>
        <v>253.07246800000001</v>
      </c>
      <c r="Y27" s="171">
        <f t="shared" si="32"/>
        <v>45.417680000000018</v>
      </c>
      <c r="Z27" s="167">
        <f t="shared" si="33"/>
        <v>42370</v>
      </c>
      <c r="AA27" s="167">
        <f t="shared" si="34"/>
        <v>42399</v>
      </c>
      <c r="AB27" s="168">
        <f t="shared" si="35"/>
        <v>1869.08</v>
      </c>
      <c r="AC27" s="169">
        <f t="shared" si="36"/>
        <v>2277.88</v>
      </c>
      <c r="AD27" s="170">
        <f t="shared" si="37"/>
        <v>30</v>
      </c>
      <c r="AE27" s="170">
        <f t="shared" si="38"/>
        <v>1</v>
      </c>
      <c r="AF27" s="170">
        <f t="shared" si="39"/>
        <v>0</v>
      </c>
      <c r="AG27" s="171">
        <f t="shared" si="40"/>
        <v>80.370439999999988</v>
      </c>
      <c r="AH27" s="171">
        <f t="shared" si="41"/>
        <v>97.94883999999999</v>
      </c>
      <c r="AI27" s="171">
        <f t="shared" si="42"/>
        <v>17.578400000000002</v>
      </c>
      <c r="AJ27" s="167">
        <f t="shared" si="43"/>
        <v>42370</v>
      </c>
      <c r="AK27" s="167">
        <f t="shared" si="44"/>
        <v>42399</v>
      </c>
      <c r="AL27" s="168">
        <f t="shared" si="45"/>
        <v>1869.08</v>
      </c>
      <c r="AM27" s="169">
        <f t="shared" si="46"/>
        <v>2277.88</v>
      </c>
      <c r="AN27" s="170">
        <f t="shared" si="47"/>
        <v>30</v>
      </c>
      <c r="AO27" s="170">
        <f t="shared" si="48"/>
        <v>1</v>
      </c>
      <c r="AP27" s="170">
        <f t="shared" si="49"/>
        <v>0</v>
      </c>
      <c r="AQ27" s="171">
        <f t="shared" si="50"/>
        <v>57.295525951999991</v>
      </c>
      <c r="AR27" s="171">
        <f t="shared" si="51"/>
        <v>69.827044672</v>
      </c>
      <c r="AS27" s="171">
        <f t="shared" si="52"/>
        <v>12.531518720000008</v>
      </c>
      <c r="AT27" s="167">
        <f t="shared" si="53"/>
        <v>42370</v>
      </c>
      <c r="AU27" s="167">
        <f t="shared" si="54"/>
        <v>42399</v>
      </c>
      <c r="AV27" s="168">
        <f t="shared" si="55"/>
        <v>1869.08</v>
      </c>
      <c r="AW27" s="169">
        <f t="shared" si="56"/>
        <v>2277.88</v>
      </c>
      <c r="AX27" s="170">
        <f t="shared" si="57"/>
        <v>30</v>
      </c>
      <c r="AY27" s="170">
        <f t="shared" si="58"/>
        <v>1</v>
      </c>
      <c r="AZ27" s="170">
        <f t="shared" si="59"/>
        <v>0</v>
      </c>
      <c r="BA27" s="171">
        <f t="shared" si="60"/>
        <v>76.416961983999997</v>
      </c>
      <c r="BB27" s="171">
        <f t="shared" si="61"/>
        <v>93.130668224000004</v>
      </c>
      <c r="BC27" s="171">
        <f t="shared" si="62"/>
        <v>16.713706240000008</v>
      </c>
      <c r="BD27" s="171">
        <f t="shared" si="63"/>
        <v>126.29434496000007</v>
      </c>
    </row>
    <row r="28" spans="1:193">
      <c r="A28" s="587" t="str">
        <f>'BANCO DADOS-CUSTO TOTAL'!C31</f>
        <v>Belo Horizonte</v>
      </c>
      <c r="B28" s="588" t="str">
        <f>'BANCO DADOS-CUSTO TOTAL'!H31</f>
        <v>BELTRANO 12356</v>
      </c>
      <c r="C28" s="588" t="str">
        <f>'BANCO DADOS-CUSTO TOTAL'!I31</f>
        <v>VIGILANTE ARMADO - 12X36 DIURNO</v>
      </c>
      <c r="D28" s="172"/>
      <c r="E28" s="172"/>
      <c r="F28" s="167">
        <v>42370</v>
      </c>
      <c r="G28" s="167">
        <v>42399</v>
      </c>
      <c r="H28" s="168">
        <f t="shared" si="16"/>
        <v>1869.08</v>
      </c>
      <c r="I28" s="169">
        <f>'BANCO DADOS-CUSTO TOTAL'!Y31</f>
        <v>2277.88</v>
      </c>
      <c r="J28" s="170">
        <f t="shared" si="17"/>
        <v>30</v>
      </c>
      <c r="K28" s="170">
        <f t="shared" si="18"/>
        <v>1</v>
      </c>
      <c r="L28" s="170">
        <f t="shared" si="19"/>
        <v>0</v>
      </c>
      <c r="M28" s="171">
        <f t="shared" si="20"/>
        <v>155.69436399999998</v>
      </c>
      <c r="N28" s="171">
        <f t="shared" si="21"/>
        <v>189.74740400000002</v>
      </c>
      <c r="O28" s="171">
        <f t="shared" si="22"/>
        <v>34.053040000000038</v>
      </c>
      <c r="P28" s="167">
        <f t="shared" si="23"/>
        <v>42370</v>
      </c>
      <c r="Q28" s="167">
        <f t="shared" si="24"/>
        <v>42399</v>
      </c>
      <c r="R28" s="168">
        <f t="shared" si="25"/>
        <v>1869.08</v>
      </c>
      <c r="S28" s="169">
        <f t="shared" si="26"/>
        <v>2277.88</v>
      </c>
      <c r="T28" s="170">
        <f t="shared" si="27"/>
        <v>30</v>
      </c>
      <c r="U28" s="170">
        <f t="shared" si="28"/>
        <v>1</v>
      </c>
      <c r="V28" s="170">
        <f t="shared" si="29"/>
        <v>0</v>
      </c>
      <c r="W28" s="171">
        <f t="shared" si="30"/>
        <v>207.654788</v>
      </c>
      <c r="X28" s="171">
        <f t="shared" si="31"/>
        <v>253.07246800000001</v>
      </c>
      <c r="Y28" s="171">
        <f t="shared" si="32"/>
        <v>45.417680000000018</v>
      </c>
      <c r="Z28" s="167">
        <f t="shared" si="33"/>
        <v>42370</v>
      </c>
      <c r="AA28" s="167">
        <f t="shared" si="34"/>
        <v>42399</v>
      </c>
      <c r="AB28" s="168">
        <f t="shared" si="35"/>
        <v>1869.08</v>
      </c>
      <c r="AC28" s="169">
        <f t="shared" si="36"/>
        <v>2277.88</v>
      </c>
      <c r="AD28" s="170">
        <f t="shared" si="37"/>
        <v>30</v>
      </c>
      <c r="AE28" s="170">
        <f t="shared" si="38"/>
        <v>1</v>
      </c>
      <c r="AF28" s="170">
        <f t="shared" si="39"/>
        <v>0</v>
      </c>
      <c r="AG28" s="171">
        <f t="shared" si="40"/>
        <v>80.370439999999988</v>
      </c>
      <c r="AH28" s="171">
        <f t="shared" si="41"/>
        <v>97.94883999999999</v>
      </c>
      <c r="AI28" s="171">
        <f t="shared" si="42"/>
        <v>17.578400000000002</v>
      </c>
      <c r="AJ28" s="167">
        <f t="shared" si="43"/>
        <v>42370</v>
      </c>
      <c r="AK28" s="167">
        <f t="shared" si="44"/>
        <v>42399</v>
      </c>
      <c r="AL28" s="168">
        <f t="shared" si="45"/>
        <v>1869.08</v>
      </c>
      <c r="AM28" s="169">
        <f t="shared" si="46"/>
        <v>2277.88</v>
      </c>
      <c r="AN28" s="170">
        <f t="shared" si="47"/>
        <v>30</v>
      </c>
      <c r="AO28" s="170">
        <f t="shared" si="48"/>
        <v>1</v>
      </c>
      <c r="AP28" s="170">
        <f t="shared" si="49"/>
        <v>0</v>
      </c>
      <c r="AQ28" s="171">
        <f t="shared" si="50"/>
        <v>57.295525951999991</v>
      </c>
      <c r="AR28" s="171">
        <f t="shared" si="51"/>
        <v>69.827044672</v>
      </c>
      <c r="AS28" s="171">
        <f t="shared" si="52"/>
        <v>12.531518720000008</v>
      </c>
      <c r="AT28" s="167">
        <f t="shared" si="53"/>
        <v>42370</v>
      </c>
      <c r="AU28" s="167">
        <f t="shared" si="54"/>
        <v>42399</v>
      </c>
      <c r="AV28" s="168">
        <f t="shared" si="55"/>
        <v>1869.08</v>
      </c>
      <c r="AW28" s="169">
        <f t="shared" si="56"/>
        <v>2277.88</v>
      </c>
      <c r="AX28" s="170">
        <f t="shared" si="57"/>
        <v>30</v>
      </c>
      <c r="AY28" s="170">
        <f t="shared" si="58"/>
        <v>1</v>
      </c>
      <c r="AZ28" s="170">
        <f t="shared" si="59"/>
        <v>0</v>
      </c>
      <c r="BA28" s="171">
        <f t="shared" si="60"/>
        <v>76.416961983999997</v>
      </c>
      <c r="BB28" s="171">
        <f t="shared" si="61"/>
        <v>93.130668224000004</v>
      </c>
      <c r="BC28" s="171">
        <f t="shared" si="62"/>
        <v>16.713706240000008</v>
      </c>
      <c r="BD28" s="171">
        <f t="shared" si="63"/>
        <v>126.29434496000007</v>
      </c>
    </row>
    <row r="29" spans="1:193">
      <c r="A29" s="587" t="str">
        <f>'BANCO DADOS-CUSTO TOTAL'!C32</f>
        <v>Belo Horizonte</v>
      </c>
      <c r="B29" s="588" t="str">
        <f>'BANCO DADOS-CUSTO TOTAL'!H32</f>
        <v>BELTRANO 12357</v>
      </c>
      <c r="C29" s="588" t="str">
        <f>'BANCO DADOS-CUSTO TOTAL'!I32</f>
        <v>VIGILANTE ARMADO - 12X36 DIURNO</v>
      </c>
      <c r="D29" s="172"/>
      <c r="E29" s="172"/>
      <c r="F29" s="167">
        <v>42370</v>
      </c>
      <c r="G29" s="167">
        <v>42399</v>
      </c>
      <c r="H29" s="168">
        <f t="shared" si="16"/>
        <v>1869.08</v>
      </c>
      <c r="I29" s="169">
        <f>'BANCO DADOS-CUSTO TOTAL'!Y32</f>
        <v>2277.88</v>
      </c>
      <c r="J29" s="170">
        <f t="shared" si="17"/>
        <v>30</v>
      </c>
      <c r="K29" s="170">
        <f t="shared" si="18"/>
        <v>1</v>
      </c>
      <c r="L29" s="170">
        <f t="shared" si="19"/>
        <v>0</v>
      </c>
      <c r="M29" s="171">
        <f t="shared" si="20"/>
        <v>155.69436399999998</v>
      </c>
      <c r="N29" s="171">
        <f t="shared" si="21"/>
        <v>189.74740400000002</v>
      </c>
      <c r="O29" s="171">
        <f t="shared" si="22"/>
        <v>34.053040000000038</v>
      </c>
      <c r="P29" s="167">
        <f t="shared" si="23"/>
        <v>42370</v>
      </c>
      <c r="Q29" s="167">
        <f t="shared" si="24"/>
        <v>42399</v>
      </c>
      <c r="R29" s="168">
        <f t="shared" si="25"/>
        <v>1869.08</v>
      </c>
      <c r="S29" s="169">
        <f t="shared" si="26"/>
        <v>2277.88</v>
      </c>
      <c r="T29" s="170">
        <f t="shared" si="27"/>
        <v>30</v>
      </c>
      <c r="U29" s="170">
        <f t="shared" si="28"/>
        <v>1</v>
      </c>
      <c r="V29" s="170">
        <f t="shared" si="29"/>
        <v>0</v>
      </c>
      <c r="W29" s="171">
        <f t="shared" si="30"/>
        <v>207.654788</v>
      </c>
      <c r="X29" s="171">
        <f t="shared" si="31"/>
        <v>253.07246800000001</v>
      </c>
      <c r="Y29" s="171">
        <f t="shared" si="32"/>
        <v>45.417680000000018</v>
      </c>
      <c r="Z29" s="167">
        <f t="shared" si="33"/>
        <v>42370</v>
      </c>
      <c r="AA29" s="167">
        <f t="shared" si="34"/>
        <v>42399</v>
      </c>
      <c r="AB29" s="168">
        <f t="shared" si="35"/>
        <v>1869.08</v>
      </c>
      <c r="AC29" s="169">
        <f t="shared" si="36"/>
        <v>2277.88</v>
      </c>
      <c r="AD29" s="170">
        <f t="shared" si="37"/>
        <v>30</v>
      </c>
      <c r="AE29" s="170">
        <f t="shared" si="38"/>
        <v>1</v>
      </c>
      <c r="AF29" s="170">
        <f t="shared" si="39"/>
        <v>0</v>
      </c>
      <c r="AG29" s="171">
        <f t="shared" si="40"/>
        <v>80.370439999999988</v>
      </c>
      <c r="AH29" s="171">
        <f t="shared" si="41"/>
        <v>97.94883999999999</v>
      </c>
      <c r="AI29" s="171">
        <f t="shared" si="42"/>
        <v>17.578400000000002</v>
      </c>
      <c r="AJ29" s="167">
        <f t="shared" si="43"/>
        <v>42370</v>
      </c>
      <c r="AK29" s="167">
        <f t="shared" si="44"/>
        <v>42399</v>
      </c>
      <c r="AL29" s="168">
        <f t="shared" si="45"/>
        <v>1869.08</v>
      </c>
      <c r="AM29" s="169">
        <f t="shared" si="46"/>
        <v>2277.88</v>
      </c>
      <c r="AN29" s="170">
        <f t="shared" si="47"/>
        <v>30</v>
      </c>
      <c r="AO29" s="170">
        <f t="shared" si="48"/>
        <v>1</v>
      </c>
      <c r="AP29" s="170">
        <f t="shared" si="49"/>
        <v>0</v>
      </c>
      <c r="AQ29" s="171">
        <f t="shared" si="50"/>
        <v>57.295525951999991</v>
      </c>
      <c r="AR29" s="171">
        <f t="shared" si="51"/>
        <v>69.827044672</v>
      </c>
      <c r="AS29" s="171">
        <f t="shared" si="52"/>
        <v>12.531518720000008</v>
      </c>
      <c r="AT29" s="167">
        <f t="shared" si="53"/>
        <v>42370</v>
      </c>
      <c r="AU29" s="167">
        <f t="shared" si="54"/>
        <v>42399</v>
      </c>
      <c r="AV29" s="168">
        <f t="shared" si="55"/>
        <v>1869.08</v>
      </c>
      <c r="AW29" s="169">
        <f t="shared" si="56"/>
        <v>2277.88</v>
      </c>
      <c r="AX29" s="170">
        <f t="shared" si="57"/>
        <v>30</v>
      </c>
      <c r="AY29" s="170">
        <f t="shared" si="58"/>
        <v>1</v>
      </c>
      <c r="AZ29" s="170">
        <f t="shared" si="59"/>
        <v>0</v>
      </c>
      <c r="BA29" s="171">
        <f t="shared" si="60"/>
        <v>76.416961983999997</v>
      </c>
      <c r="BB29" s="171">
        <f t="shared" si="61"/>
        <v>93.130668224000004</v>
      </c>
      <c r="BC29" s="171">
        <f t="shared" si="62"/>
        <v>16.713706240000008</v>
      </c>
      <c r="BD29" s="171">
        <f t="shared" si="63"/>
        <v>126.29434496000007</v>
      </c>
    </row>
    <row r="30" spans="1:193">
      <c r="A30" s="587" t="str">
        <f>'BANCO DADOS-CUSTO TOTAL'!C33</f>
        <v>Belo Horizonte</v>
      </c>
      <c r="B30" s="588" t="str">
        <f>'BANCO DADOS-CUSTO TOTAL'!H33</f>
        <v>BELTRANO 12358</v>
      </c>
      <c r="C30" s="588" t="str">
        <f>'BANCO DADOS-CUSTO TOTAL'!I33</f>
        <v>VIGILANTE ARMADO - 12X36 DIURNO</v>
      </c>
      <c r="D30" s="172"/>
      <c r="E30" s="172"/>
      <c r="F30" s="167">
        <v>42370</v>
      </c>
      <c r="G30" s="167">
        <v>42399</v>
      </c>
      <c r="H30" s="168">
        <f t="shared" si="16"/>
        <v>1869.08</v>
      </c>
      <c r="I30" s="169">
        <f>'BANCO DADOS-CUSTO TOTAL'!Y33</f>
        <v>2277.88</v>
      </c>
      <c r="J30" s="170">
        <f t="shared" si="17"/>
        <v>30</v>
      </c>
      <c r="K30" s="170">
        <f t="shared" si="18"/>
        <v>1</v>
      </c>
      <c r="L30" s="170">
        <f t="shared" si="19"/>
        <v>0</v>
      </c>
      <c r="M30" s="171">
        <f t="shared" si="20"/>
        <v>155.69436399999998</v>
      </c>
      <c r="N30" s="171">
        <f t="shared" si="21"/>
        <v>189.74740400000002</v>
      </c>
      <c r="O30" s="171">
        <f t="shared" si="22"/>
        <v>34.053040000000038</v>
      </c>
      <c r="P30" s="167">
        <f t="shared" si="23"/>
        <v>42370</v>
      </c>
      <c r="Q30" s="167">
        <f t="shared" si="24"/>
        <v>42399</v>
      </c>
      <c r="R30" s="168">
        <f t="shared" si="25"/>
        <v>1869.08</v>
      </c>
      <c r="S30" s="169">
        <f t="shared" si="26"/>
        <v>2277.88</v>
      </c>
      <c r="T30" s="170">
        <f t="shared" si="27"/>
        <v>30</v>
      </c>
      <c r="U30" s="170">
        <f t="shared" si="28"/>
        <v>1</v>
      </c>
      <c r="V30" s="170">
        <f t="shared" si="29"/>
        <v>0</v>
      </c>
      <c r="W30" s="171">
        <f t="shared" si="30"/>
        <v>207.654788</v>
      </c>
      <c r="X30" s="171">
        <f t="shared" si="31"/>
        <v>253.07246800000001</v>
      </c>
      <c r="Y30" s="171">
        <f t="shared" si="32"/>
        <v>45.417680000000018</v>
      </c>
      <c r="Z30" s="167">
        <f t="shared" si="33"/>
        <v>42370</v>
      </c>
      <c r="AA30" s="167">
        <f t="shared" si="34"/>
        <v>42399</v>
      </c>
      <c r="AB30" s="168">
        <f t="shared" si="35"/>
        <v>1869.08</v>
      </c>
      <c r="AC30" s="169">
        <f t="shared" si="36"/>
        <v>2277.88</v>
      </c>
      <c r="AD30" s="170">
        <f t="shared" si="37"/>
        <v>30</v>
      </c>
      <c r="AE30" s="170">
        <f t="shared" si="38"/>
        <v>1</v>
      </c>
      <c r="AF30" s="170">
        <f t="shared" si="39"/>
        <v>0</v>
      </c>
      <c r="AG30" s="171">
        <f t="shared" si="40"/>
        <v>80.370439999999988</v>
      </c>
      <c r="AH30" s="171">
        <f t="shared" si="41"/>
        <v>97.94883999999999</v>
      </c>
      <c r="AI30" s="171">
        <f t="shared" si="42"/>
        <v>17.578400000000002</v>
      </c>
      <c r="AJ30" s="167">
        <f t="shared" si="43"/>
        <v>42370</v>
      </c>
      <c r="AK30" s="167">
        <f t="shared" si="44"/>
        <v>42399</v>
      </c>
      <c r="AL30" s="168">
        <f t="shared" si="45"/>
        <v>1869.08</v>
      </c>
      <c r="AM30" s="169">
        <f t="shared" si="46"/>
        <v>2277.88</v>
      </c>
      <c r="AN30" s="170">
        <f t="shared" si="47"/>
        <v>30</v>
      </c>
      <c r="AO30" s="170">
        <f t="shared" si="48"/>
        <v>1</v>
      </c>
      <c r="AP30" s="170">
        <f t="shared" si="49"/>
        <v>0</v>
      </c>
      <c r="AQ30" s="171">
        <f t="shared" si="50"/>
        <v>57.295525951999991</v>
      </c>
      <c r="AR30" s="171">
        <f t="shared" si="51"/>
        <v>69.827044672</v>
      </c>
      <c r="AS30" s="171">
        <f t="shared" si="52"/>
        <v>12.531518720000008</v>
      </c>
      <c r="AT30" s="167">
        <f t="shared" si="53"/>
        <v>42370</v>
      </c>
      <c r="AU30" s="167">
        <f t="shared" si="54"/>
        <v>42399</v>
      </c>
      <c r="AV30" s="168">
        <f t="shared" si="55"/>
        <v>1869.08</v>
      </c>
      <c r="AW30" s="169">
        <f t="shared" si="56"/>
        <v>2277.88</v>
      </c>
      <c r="AX30" s="170">
        <f t="shared" si="57"/>
        <v>30</v>
      </c>
      <c r="AY30" s="170">
        <f t="shared" si="58"/>
        <v>1</v>
      </c>
      <c r="AZ30" s="170">
        <f t="shared" si="59"/>
        <v>0</v>
      </c>
      <c r="BA30" s="171">
        <f t="shared" si="60"/>
        <v>76.416961983999997</v>
      </c>
      <c r="BB30" s="171">
        <f t="shared" si="61"/>
        <v>93.130668224000004</v>
      </c>
      <c r="BC30" s="171">
        <f t="shared" si="62"/>
        <v>16.713706240000008</v>
      </c>
      <c r="BD30" s="171">
        <f t="shared" si="63"/>
        <v>126.29434496000007</v>
      </c>
    </row>
    <row r="31" spans="1:193">
      <c r="A31" s="587" t="str">
        <f>'BANCO DADOS-CUSTO TOTAL'!C34</f>
        <v>Belo Horizonte</v>
      </c>
      <c r="B31" s="588" t="str">
        <f>'BANCO DADOS-CUSTO TOTAL'!H34</f>
        <v>BELTRANO 12359</v>
      </c>
      <c r="C31" s="588" t="str">
        <f>'BANCO DADOS-CUSTO TOTAL'!I34</f>
        <v>VIGILANTE ARMADO - 12X36 DIURNO</v>
      </c>
      <c r="D31" s="172"/>
      <c r="E31" s="172"/>
      <c r="F31" s="167">
        <v>42370</v>
      </c>
      <c r="G31" s="167">
        <v>42399</v>
      </c>
      <c r="H31" s="168">
        <f t="shared" si="16"/>
        <v>1869.08</v>
      </c>
      <c r="I31" s="169">
        <f>'BANCO DADOS-CUSTO TOTAL'!Y34</f>
        <v>2277.88</v>
      </c>
      <c r="J31" s="170">
        <f t="shared" si="17"/>
        <v>30</v>
      </c>
      <c r="K31" s="170">
        <f t="shared" si="18"/>
        <v>1</v>
      </c>
      <c r="L31" s="170">
        <f t="shared" si="19"/>
        <v>0</v>
      </c>
      <c r="M31" s="171">
        <f t="shared" si="20"/>
        <v>155.69436399999998</v>
      </c>
      <c r="N31" s="171">
        <f t="shared" si="21"/>
        <v>189.74740400000002</v>
      </c>
      <c r="O31" s="171">
        <f t="shared" si="22"/>
        <v>34.053040000000038</v>
      </c>
      <c r="P31" s="167">
        <f t="shared" si="23"/>
        <v>42370</v>
      </c>
      <c r="Q31" s="167">
        <f t="shared" si="24"/>
        <v>42399</v>
      </c>
      <c r="R31" s="168">
        <f t="shared" si="25"/>
        <v>1869.08</v>
      </c>
      <c r="S31" s="169">
        <f t="shared" si="26"/>
        <v>2277.88</v>
      </c>
      <c r="T31" s="170">
        <f t="shared" si="27"/>
        <v>30</v>
      </c>
      <c r="U31" s="170">
        <f t="shared" si="28"/>
        <v>1</v>
      </c>
      <c r="V31" s="170">
        <f t="shared" si="29"/>
        <v>0</v>
      </c>
      <c r="W31" s="171">
        <f t="shared" si="30"/>
        <v>207.654788</v>
      </c>
      <c r="X31" s="171">
        <f t="shared" si="31"/>
        <v>253.07246800000001</v>
      </c>
      <c r="Y31" s="171">
        <f t="shared" si="32"/>
        <v>45.417680000000018</v>
      </c>
      <c r="Z31" s="167">
        <f t="shared" si="33"/>
        <v>42370</v>
      </c>
      <c r="AA31" s="167">
        <f t="shared" si="34"/>
        <v>42399</v>
      </c>
      <c r="AB31" s="168">
        <f t="shared" si="35"/>
        <v>1869.08</v>
      </c>
      <c r="AC31" s="169">
        <f t="shared" si="36"/>
        <v>2277.88</v>
      </c>
      <c r="AD31" s="170">
        <f t="shared" si="37"/>
        <v>30</v>
      </c>
      <c r="AE31" s="170">
        <f t="shared" si="38"/>
        <v>1</v>
      </c>
      <c r="AF31" s="170">
        <f t="shared" si="39"/>
        <v>0</v>
      </c>
      <c r="AG31" s="171">
        <f t="shared" si="40"/>
        <v>80.370439999999988</v>
      </c>
      <c r="AH31" s="171">
        <f t="shared" si="41"/>
        <v>97.94883999999999</v>
      </c>
      <c r="AI31" s="171">
        <f t="shared" si="42"/>
        <v>17.578400000000002</v>
      </c>
      <c r="AJ31" s="167">
        <f t="shared" si="43"/>
        <v>42370</v>
      </c>
      <c r="AK31" s="167">
        <f t="shared" si="44"/>
        <v>42399</v>
      </c>
      <c r="AL31" s="168">
        <f t="shared" si="45"/>
        <v>1869.08</v>
      </c>
      <c r="AM31" s="169">
        <f t="shared" si="46"/>
        <v>2277.88</v>
      </c>
      <c r="AN31" s="170">
        <f t="shared" si="47"/>
        <v>30</v>
      </c>
      <c r="AO31" s="170">
        <f t="shared" si="48"/>
        <v>1</v>
      </c>
      <c r="AP31" s="170">
        <f t="shared" si="49"/>
        <v>0</v>
      </c>
      <c r="AQ31" s="171">
        <f t="shared" si="50"/>
        <v>57.295525951999991</v>
      </c>
      <c r="AR31" s="171">
        <f t="shared" si="51"/>
        <v>69.827044672</v>
      </c>
      <c r="AS31" s="171">
        <f t="shared" si="52"/>
        <v>12.531518720000008</v>
      </c>
      <c r="AT31" s="167">
        <f t="shared" si="53"/>
        <v>42370</v>
      </c>
      <c r="AU31" s="167">
        <f t="shared" si="54"/>
        <v>42399</v>
      </c>
      <c r="AV31" s="168">
        <f t="shared" si="55"/>
        <v>1869.08</v>
      </c>
      <c r="AW31" s="169">
        <f t="shared" si="56"/>
        <v>2277.88</v>
      </c>
      <c r="AX31" s="170">
        <f t="shared" si="57"/>
        <v>30</v>
      </c>
      <c r="AY31" s="170">
        <f t="shared" si="58"/>
        <v>1</v>
      </c>
      <c r="AZ31" s="170">
        <f t="shared" si="59"/>
        <v>0</v>
      </c>
      <c r="BA31" s="171">
        <f t="shared" si="60"/>
        <v>76.416961983999997</v>
      </c>
      <c r="BB31" s="171">
        <f t="shared" si="61"/>
        <v>93.130668224000004</v>
      </c>
      <c r="BC31" s="171">
        <f t="shared" si="62"/>
        <v>16.713706240000008</v>
      </c>
      <c r="BD31" s="171">
        <f t="shared" si="63"/>
        <v>126.29434496000007</v>
      </c>
    </row>
    <row r="32" spans="1:193">
      <c r="A32" s="587" t="str">
        <f>'BANCO DADOS-CUSTO TOTAL'!C35</f>
        <v>Belo Horizonte</v>
      </c>
      <c r="B32" s="588" t="str">
        <f>'BANCO DADOS-CUSTO TOTAL'!H35</f>
        <v>BELTRANO 12360</v>
      </c>
      <c r="C32" s="588" t="str">
        <f>'BANCO DADOS-CUSTO TOTAL'!I35</f>
        <v>VIGILANTE ARMADO - 12X36 DIURNO</v>
      </c>
      <c r="D32" s="172"/>
      <c r="E32" s="172"/>
      <c r="F32" s="167">
        <v>42370</v>
      </c>
      <c r="G32" s="167">
        <v>42399</v>
      </c>
      <c r="H32" s="168">
        <f t="shared" si="16"/>
        <v>1869.08</v>
      </c>
      <c r="I32" s="169">
        <f>'BANCO DADOS-CUSTO TOTAL'!Y35</f>
        <v>2277.88</v>
      </c>
      <c r="J32" s="170">
        <f t="shared" si="17"/>
        <v>30</v>
      </c>
      <c r="K32" s="170">
        <f t="shared" si="18"/>
        <v>1</v>
      </c>
      <c r="L32" s="170">
        <f t="shared" si="19"/>
        <v>0</v>
      </c>
      <c r="M32" s="171">
        <f t="shared" si="20"/>
        <v>155.69436399999998</v>
      </c>
      <c r="N32" s="171">
        <f t="shared" si="21"/>
        <v>189.74740400000002</v>
      </c>
      <c r="O32" s="171">
        <f t="shared" si="22"/>
        <v>34.053040000000038</v>
      </c>
      <c r="P32" s="167">
        <f t="shared" si="23"/>
        <v>42370</v>
      </c>
      <c r="Q32" s="167">
        <f t="shared" si="24"/>
        <v>42399</v>
      </c>
      <c r="R32" s="168">
        <f t="shared" si="25"/>
        <v>1869.08</v>
      </c>
      <c r="S32" s="169">
        <f t="shared" si="26"/>
        <v>2277.88</v>
      </c>
      <c r="T32" s="170">
        <f t="shared" si="27"/>
        <v>30</v>
      </c>
      <c r="U32" s="170">
        <f t="shared" si="28"/>
        <v>1</v>
      </c>
      <c r="V32" s="170">
        <f t="shared" si="29"/>
        <v>0</v>
      </c>
      <c r="W32" s="171">
        <f t="shared" si="30"/>
        <v>207.654788</v>
      </c>
      <c r="X32" s="171">
        <f t="shared" si="31"/>
        <v>253.07246800000001</v>
      </c>
      <c r="Y32" s="171">
        <f t="shared" si="32"/>
        <v>45.417680000000018</v>
      </c>
      <c r="Z32" s="167">
        <f t="shared" si="33"/>
        <v>42370</v>
      </c>
      <c r="AA32" s="167">
        <f t="shared" si="34"/>
        <v>42399</v>
      </c>
      <c r="AB32" s="168">
        <f t="shared" si="35"/>
        <v>1869.08</v>
      </c>
      <c r="AC32" s="169">
        <f t="shared" si="36"/>
        <v>2277.88</v>
      </c>
      <c r="AD32" s="170">
        <f t="shared" si="37"/>
        <v>30</v>
      </c>
      <c r="AE32" s="170">
        <f t="shared" si="38"/>
        <v>1</v>
      </c>
      <c r="AF32" s="170">
        <f t="shared" si="39"/>
        <v>0</v>
      </c>
      <c r="AG32" s="171">
        <f t="shared" si="40"/>
        <v>80.370439999999988</v>
      </c>
      <c r="AH32" s="171">
        <f t="shared" si="41"/>
        <v>97.94883999999999</v>
      </c>
      <c r="AI32" s="171">
        <f t="shared" si="42"/>
        <v>17.578400000000002</v>
      </c>
      <c r="AJ32" s="167">
        <f t="shared" si="43"/>
        <v>42370</v>
      </c>
      <c r="AK32" s="167">
        <f t="shared" si="44"/>
        <v>42399</v>
      </c>
      <c r="AL32" s="168">
        <f t="shared" si="45"/>
        <v>1869.08</v>
      </c>
      <c r="AM32" s="169">
        <f t="shared" si="46"/>
        <v>2277.88</v>
      </c>
      <c r="AN32" s="170">
        <f t="shared" si="47"/>
        <v>30</v>
      </c>
      <c r="AO32" s="170">
        <f t="shared" si="48"/>
        <v>1</v>
      </c>
      <c r="AP32" s="170">
        <f t="shared" si="49"/>
        <v>0</v>
      </c>
      <c r="AQ32" s="171">
        <f t="shared" si="50"/>
        <v>57.295525951999991</v>
      </c>
      <c r="AR32" s="171">
        <f t="shared" si="51"/>
        <v>69.827044672</v>
      </c>
      <c r="AS32" s="171">
        <f t="shared" si="52"/>
        <v>12.531518720000008</v>
      </c>
      <c r="AT32" s="167">
        <f t="shared" si="53"/>
        <v>42370</v>
      </c>
      <c r="AU32" s="167">
        <f t="shared" si="54"/>
        <v>42399</v>
      </c>
      <c r="AV32" s="168">
        <f t="shared" si="55"/>
        <v>1869.08</v>
      </c>
      <c r="AW32" s="169">
        <f t="shared" si="56"/>
        <v>2277.88</v>
      </c>
      <c r="AX32" s="170">
        <f t="shared" si="57"/>
        <v>30</v>
      </c>
      <c r="AY32" s="170">
        <f t="shared" si="58"/>
        <v>1</v>
      </c>
      <c r="AZ32" s="170">
        <f t="shared" si="59"/>
        <v>0</v>
      </c>
      <c r="BA32" s="171">
        <f t="shared" si="60"/>
        <v>76.416961983999997</v>
      </c>
      <c r="BB32" s="171">
        <f t="shared" si="61"/>
        <v>93.130668224000004</v>
      </c>
      <c r="BC32" s="171">
        <f t="shared" si="62"/>
        <v>16.713706240000008</v>
      </c>
      <c r="BD32" s="171">
        <f t="shared" si="63"/>
        <v>126.29434496000007</v>
      </c>
    </row>
    <row r="33" spans="1:56">
      <c r="A33" s="587" t="str">
        <f>'BANCO DADOS-CUSTO TOTAL'!C36</f>
        <v>Belo Horizonte</v>
      </c>
      <c r="B33" s="588" t="str">
        <f>'BANCO DADOS-CUSTO TOTAL'!H36</f>
        <v>BELTRANO 12361</v>
      </c>
      <c r="C33" s="588" t="str">
        <f>'BANCO DADOS-CUSTO TOTAL'!I36</f>
        <v>VIGILANTE ARMADO - 12X36 DIURNO</v>
      </c>
      <c r="D33" s="172"/>
      <c r="E33" s="172"/>
      <c r="F33" s="167">
        <v>42370</v>
      </c>
      <c r="G33" s="167">
        <v>42399</v>
      </c>
      <c r="H33" s="168">
        <f t="shared" si="16"/>
        <v>1869.08</v>
      </c>
      <c r="I33" s="169">
        <f>'BANCO DADOS-CUSTO TOTAL'!Y36</f>
        <v>2277.88</v>
      </c>
      <c r="J33" s="170">
        <f t="shared" si="17"/>
        <v>30</v>
      </c>
      <c r="K33" s="170">
        <f t="shared" si="18"/>
        <v>1</v>
      </c>
      <c r="L33" s="170">
        <f t="shared" si="19"/>
        <v>0</v>
      </c>
      <c r="M33" s="171">
        <f t="shared" si="20"/>
        <v>155.69436399999998</v>
      </c>
      <c r="N33" s="171">
        <f t="shared" si="21"/>
        <v>189.74740400000002</v>
      </c>
      <c r="O33" s="171">
        <f t="shared" si="22"/>
        <v>34.053040000000038</v>
      </c>
      <c r="P33" s="167">
        <f t="shared" si="23"/>
        <v>42370</v>
      </c>
      <c r="Q33" s="167">
        <f t="shared" si="24"/>
        <v>42399</v>
      </c>
      <c r="R33" s="168">
        <f t="shared" si="25"/>
        <v>1869.08</v>
      </c>
      <c r="S33" s="169">
        <f t="shared" si="26"/>
        <v>2277.88</v>
      </c>
      <c r="T33" s="170">
        <f t="shared" si="27"/>
        <v>30</v>
      </c>
      <c r="U33" s="170">
        <f t="shared" si="28"/>
        <v>1</v>
      </c>
      <c r="V33" s="170">
        <f t="shared" si="29"/>
        <v>0</v>
      </c>
      <c r="W33" s="171">
        <f t="shared" si="30"/>
        <v>207.654788</v>
      </c>
      <c r="X33" s="171">
        <f t="shared" si="31"/>
        <v>253.07246800000001</v>
      </c>
      <c r="Y33" s="171">
        <f t="shared" si="32"/>
        <v>45.417680000000018</v>
      </c>
      <c r="Z33" s="167">
        <f t="shared" si="33"/>
        <v>42370</v>
      </c>
      <c r="AA33" s="167">
        <f t="shared" si="34"/>
        <v>42399</v>
      </c>
      <c r="AB33" s="168">
        <f t="shared" si="35"/>
        <v>1869.08</v>
      </c>
      <c r="AC33" s="169">
        <f t="shared" si="36"/>
        <v>2277.88</v>
      </c>
      <c r="AD33" s="170">
        <f t="shared" si="37"/>
        <v>30</v>
      </c>
      <c r="AE33" s="170">
        <f t="shared" si="38"/>
        <v>1</v>
      </c>
      <c r="AF33" s="170">
        <f t="shared" si="39"/>
        <v>0</v>
      </c>
      <c r="AG33" s="171">
        <f t="shared" si="40"/>
        <v>80.370439999999988</v>
      </c>
      <c r="AH33" s="171">
        <f t="shared" si="41"/>
        <v>97.94883999999999</v>
      </c>
      <c r="AI33" s="171">
        <f t="shared" si="42"/>
        <v>17.578400000000002</v>
      </c>
      <c r="AJ33" s="167">
        <f t="shared" si="43"/>
        <v>42370</v>
      </c>
      <c r="AK33" s="167">
        <f t="shared" si="44"/>
        <v>42399</v>
      </c>
      <c r="AL33" s="168">
        <f t="shared" si="45"/>
        <v>1869.08</v>
      </c>
      <c r="AM33" s="169">
        <f t="shared" si="46"/>
        <v>2277.88</v>
      </c>
      <c r="AN33" s="170">
        <f t="shared" si="47"/>
        <v>30</v>
      </c>
      <c r="AO33" s="170">
        <f t="shared" si="48"/>
        <v>1</v>
      </c>
      <c r="AP33" s="170">
        <f t="shared" si="49"/>
        <v>0</v>
      </c>
      <c r="AQ33" s="171">
        <f t="shared" si="50"/>
        <v>57.295525951999991</v>
      </c>
      <c r="AR33" s="171">
        <f t="shared" si="51"/>
        <v>69.827044672</v>
      </c>
      <c r="AS33" s="171">
        <f t="shared" si="52"/>
        <v>12.531518720000008</v>
      </c>
      <c r="AT33" s="167">
        <f t="shared" si="53"/>
        <v>42370</v>
      </c>
      <c r="AU33" s="167">
        <f t="shared" si="54"/>
        <v>42399</v>
      </c>
      <c r="AV33" s="168">
        <f t="shared" si="55"/>
        <v>1869.08</v>
      </c>
      <c r="AW33" s="169">
        <f t="shared" si="56"/>
        <v>2277.88</v>
      </c>
      <c r="AX33" s="170">
        <f t="shared" si="57"/>
        <v>30</v>
      </c>
      <c r="AY33" s="170">
        <f t="shared" si="58"/>
        <v>1</v>
      </c>
      <c r="AZ33" s="170">
        <f t="shared" si="59"/>
        <v>0</v>
      </c>
      <c r="BA33" s="171">
        <f t="shared" si="60"/>
        <v>76.416961983999997</v>
      </c>
      <c r="BB33" s="171">
        <f t="shared" si="61"/>
        <v>93.130668224000004</v>
      </c>
      <c r="BC33" s="171">
        <f t="shared" si="62"/>
        <v>16.713706240000008</v>
      </c>
      <c r="BD33" s="171">
        <f t="shared" si="63"/>
        <v>126.29434496000007</v>
      </c>
    </row>
    <row r="34" spans="1:56">
      <c r="A34" s="587" t="str">
        <f>'BANCO DADOS-CUSTO TOTAL'!C37</f>
        <v>Belo Horizonte</v>
      </c>
      <c r="B34" s="588" t="str">
        <f>'BANCO DADOS-CUSTO TOTAL'!H37</f>
        <v>BELTRANO 12362</v>
      </c>
      <c r="C34" s="588" t="str">
        <f>'BANCO DADOS-CUSTO TOTAL'!I37</f>
        <v>VIGILANTE ARMADO - 12X36 DIURNO</v>
      </c>
      <c r="D34" s="172"/>
      <c r="E34" s="172"/>
      <c r="F34" s="167">
        <v>42370</v>
      </c>
      <c r="G34" s="167">
        <v>42399</v>
      </c>
      <c r="H34" s="168">
        <f t="shared" si="16"/>
        <v>1869.08</v>
      </c>
      <c r="I34" s="169">
        <f>'BANCO DADOS-CUSTO TOTAL'!Y37</f>
        <v>2277.88</v>
      </c>
      <c r="J34" s="170">
        <f t="shared" si="17"/>
        <v>30</v>
      </c>
      <c r="K34" s="170">
        <f t="shared" si="18"/>
        <v>1</v>
      </c>
      <c r="L34" s="170">
        <f t="shared" si="19"/>
        <v>0</v>
      </c>
      <c r="M34" s="171">
        <f t="shared" si="20"/>
        <v>155.69436399999998</v>
      </c>
      <c r="N34" s="171">
        <f t="shared" si="21"/>
        <v>189.74740400000002</v>
      </c>
      <c r="O34" s="171">
        <f t="shared" si="22"/>
        <v>34.053040000000038</v>
      </c>
      <c r="P34" s="167">
        <f t="shared" si="23"/>
        <v>42370</v>
      </c>
      <c r="Q34" s="167">
        <f t="shared" si="24"/>
        <v>42399</v>
      </c>
      <c r="R34" s="168">
        <f t="shared" si="25"/>
        <v>1869.08</v>
      </c>
      <c r="S34" s="169">
        <f t="shared" si="26"/>
        <v>2277.88</v>
      </c>
      <c r="T34" s="170">
        <f t="shared" si="27"/>
        <v>30</v>
      </c>
      <c r="U34" s="170">
        <f t="shared" si="28"/>
        <v>1</v>
      </c>
      <c r="V34" s="170">
        <f t="shared" si="29"/>
        <v>0</v>
      </c>
      <c r="W34" s="171">
        <f t="shared" si="30"/>
        <v>207.654788</v>
      </c>
      <c r="X34" s="171">
        <f t="shared" si="31"/>
        <v>253.07246800000001</v>
      </c>
      <c r="Y34" s="171">
        <f t="shared" si="32"/>
        <v>45.417680000000018</v>
      </c>
      <c r="Z34" s="167">
        <f t="shared" si="33"/>
        <v>42370</v>
      </c>
      <c r="AA34" s="167">
        <f t="shared" si="34"/>
        <v>42399</v>
      </c>
      <c r="AB34" s="168">
        <f t="shared" si="35"/>
        <v>1869.08</v>
      </c>
      <c r="AC34" s="169">
        <f t="shared" si="36"/>
        <v>2277.88</v>
      </c>
      <c r="AD34" s="170">
        <f t="shared" si="37"/>
        <v>30</v>
      </c>
      <c r="AE34" s="170">
        <f t="shared" si="38"/>
        <v>1</v>
      </c>
      <c r="AF34" s="170">
        <f t="shared" si="39"/>
        <v>0</v>
      </c>
      <c r="AG34" s="171">
        <f t="shared" si="40"/>
        <v>80.370439999999988</v>
      </c>
      <c r="AH34" s="171">
        <f t="shared" si="41"/>
        <v>97.94883999999999</v>
      </c>
      <c r="AI34" s="171">
        <f t="shared" si="42"/>
        <v>17.578400000000002</v>
      </c>
      <c r="AJ34" s="167">
        <f t="shared" si="43"/>
        <v>42370</v>
      </c>
      <c r="AK34" s="167">
        <f t="shared" si="44"/>
        <v>42399</v>
      </c>
      <c r="AL34" s="168">
        <f t="shared" si="45"/>
        <v>1869.08</v>
      </c>
      <c r="AM34" s="169">
        <f t="shared" si="46"/>
        <v>2277.88</v>
      </c>
      <c r="AN34" s="170">
        <f t="shared" si="47"/>
        <v>30</v>
      </c>
      <c r="AO34" s="170">
        <f t="shared" si="48"/>
        <v>1</v>
      </c>
      <c r="AP34" s="170">
        <f t="shared" si="49"/>
        <v>0</v>
      </c>
      <c r="AQ34" s="171">
        <f t="shared" si="50"/>
        <v>57.295525951999991</v>
      </c>
      <c r="AR34" s="171">
        <f t="shared" si="51"/>
        <v>69.827044672</v>
      </c>
      <c r="AS34" s="171">
        <f t="shared" si="52"/>
        <v>12.531518720000008</v>
      </c>
      <c r="AT34" s="167">
        <f t="shared" si="53"/>
        <v>42370</v>
      </c>
      <c r="AU34" s="167">
        <f t="shared" si="54"/>
        <v>42399</v>
      </c>
      <c r="AV34" s="168">
        <f t="shared" si="55"/>
        <v>1869.08</v>
      </c>
      <c r="AW34" s="169">
        <f t="shared" si="56"/>
        <v>2277.88</v>
      </c>
      <c r="AX34" s="170">
        <f t="shared" si="57"/>
        <v>30</v>
      </c>
      <c r="AY34" s="170">
        <f t="shared" si="58"/>
        <v>1</v>
      </c>
      <c r="AZ34" s="170">
        <f t="shared" si="59"/>
        <v>0</v>
      </c>
      <c r="BA34" s="171">
        <f t="shared" si="60"/>
        <v>76.416961983999997</v>
      </c>
      <c r="BB34" s="171">
        <f t="shared" si="61"/>
        <v>93.130668224000004</v>
      </c>
      <c r="BC34" s="171">
        <f t="shared" si="62"/>
        <v>16.713706240000008</v>
      </c>
      <c r="BD34" s="171">
        <f t="shared" si="63"/>
        <v>126.29434496000007</v>
      </c>
    </row>
    <row r="35" spans="1:56">
      <c r="A35" s="587" t="str">
        <f>'BANCO DADOS-CUSTO TOTAL'!C38</f>
        <v>Belo Horizonte</v>
      </c>
      <c r="B35" s="588" t="str">
        <f>'BANCO DADOS-CUSTO TOTAL'!H38</f>
        <v>BELTRANO 12363</v>
      </c>
      <c r="C35" s="588" t="str">
        <f>'BANCO DADOS-CUSTO TOTAL'!I38</f>
        <v>VIGILANTE ARMADO - 12X36 DIURNO</v>
      </c>
      <c r="D35" s="172"/>
      <c r="E35" s="172"/>
      <c r="F35" s="167">
        <v>42370</v>
      </c>
      <c r="G35" s="167">
        <v>42399</v>
      </c>
      <c r="H35" s="168">
        <f t="shared" si="16"/>
        <v>1869.08</v>
      </c>
      <c r="I35" s="169">
        <f>'BANCO DADOS-CUSTO TOTAL'!Y38</f>
        <v>2277.88</v>
      </c>
      <c r="J35" s="170">
        <f t="shared" si="17"/>
        <v>30</v>
      </c>
      <c r="K35" s="170">
        <f t="shared" si="18"/>
        <v>1</v>
      </c>
      <c r="L35" s="170">
        <f t="shared" si="19"/>
        <v>0</v>
      </c>
      <c r="M35" s="171">
        <f t="shared" si="20"/>
        <v>155.69436399999998</v>
      </c>
      <c r="N35" s="171">
        <f t="shared" si="21"/>
        <v>189.74740400000002</v>
      </c>
      <c r="O35" s="171">
        <f t="shared" si="22"/>
        <v>34.053040000000038</v>
      </c>
      <c r="P35" s="167">
        <f t="shared" si="23"/>
        <v>42370</v>
      </c>
      <c r="Q35" s="167">
        <f t="shared" si="24"/>
        <v>42399</v>
      </c>
      <c r="R35" s="168">
        <f t="shared" si="25"/>
        <v>1869.08</v>
      </c>
      <c r="S35" s="169">
        <f t="shared" si="26"/>
        <v>2277.88</v>
      </c>
      <c r="T35" s="170">
        <f t="shared" si="27"/>
        <v>30</v>
      </c>
      <c r="U35" s="170">
        <f t="shared" si="28"/>
        <v>1</v>
      </c>
      <c r="V35" s="170">
        <f t="shared" si="29"/>
        <v>0</v>
      </c>
      <c r="W35" s="171">
        <f t="shared" si="30"/>
        <v>207.654788</v>
      </c>
      <c r="X35" s="171">
        <f t="shared" si="31"/>
        <v>253.07246800000001</v>
      </c>
      <c r="Y35" s="171">
        <f t="shared" si="32"/>
        <v>45.417680000000018</v>
      </c>
      <c r="Z35" s="167">
        <f t="shared" si="33"/>
        <v>42370</v>
      </c>
      <c r="AA35" s="167">
        <f t="shared" si="34"/>
        <v>42399</v>
      </c>
      <c r="AB35" s="168">
        <f t="shared" si="35"/>
        <v>1869.08</v>
      </c>
      <c r="AC35" s="169">
        <f t="shared" si="36"/>
        <v>2277.88</v>
      </c>
      <c r="AD35" s="170">
        <f t="shared" si="37"/>
        <v>30</v>
      </c>
      <c r="AE35" s="170">
        <f t="shared" si="38"/>
        <v>1</v>
      </c>
      <c r="AF35" s="170">
        <f t="shared" si="39"/>
        <v>0</v>
      </c>
      <c r="AG35" s="171">
        <f t="shared" si="40"/>
        <v>80.370439999999988</v>
      </c>
      <c r="AH35" s="171">
        <f t="shared" si="41"/>
        <v>97.94883999999999</v>
      </c>
      <c r="AI35" s="171">
        <f t="shared" si="42"/>
        <v>17.578400000000002</v>
      </c>
      <c r="AJ35" s="167">
        <f t="shared" si="43"/>
        <v>42370</v>
      </c>
      <c r="AK35" s="167">
        <f t="shared" si="44"/>
        <v>42399</v>
      </c>
      <c r="AL35" s="168">
        <f t="shared" si="45"/>
        <v>1869.08</v>
      </c>
      <c r="AM35" s="169">
        <f t="shared" si="46"/>
        <v>2277.88</v>
      </c>
      <c r="AN35" s="170">
        <f t="shared" si="47"/>
        <v>30</v>
      </c>
      <c r="AO35" s="170">
        <f t="shared" si="48"/>
        <v>1</v>
      </c>
      <c r="AP35" s="170">
        <f t="shared" si="49"/>
        <v>0</v>
      </c>
      <c r="AQ35" s="171">
        <f t="shared" si="50"/>
        <v>57.295525951999991</v>
      </c>
      <c r="AR35" s="171">
        <f t="shared" si="51"/>
        <v>69.827044672</v>
      </c>
      <c r="AS35" s="171">
        <f t="shared" si="52"/>
        <v>12.531518720000008</v>
      </c>
      <c r="AT35" s="167">
        <f t="shared" si="53"/>
        <v>42370</v>
      </c>
      <c r="AU35" s="167">
        <f t="shared" si="54"/>
        <v>42399</v>
      </c>
      <c r="AV35" s="168">
        <f t="shared" si="55"/>
        <v>1869.08</v>
      </c>
      <c r="AW35" s="169">
        <f t="shared" si="56"/>
        <v>2277.88</v>
      </c>
      <c r="AX35" s="170">
        <f t="shared" si="57"/>
        <v>30</v>
      </c>
      <c r="AY35" s="170">
        <f t="shared" si="58"/>
        <v>1</v>
      </c>
      <c r="AZ35" s="170">
        <f t="shared" si="59"/>
        <v>0</v>
      </c>
      <c r="BA35" s="171">
        <f t="shared" si="60"/>
        <v>76.416961983999997</v>
      </c>
      <c r="BB35" s="171">
        <f t="shared" si="61"/>
        <v>93.130668224000004</v>
      </c>
      <c r="BC35" s="171">
        <f t="shared" si="62"/>
        <v>16.713706240000008</v>
      </c>
      <c r="BD35" s="171">
        <f t="shared" si="63"/>
        <v>126.29434496000007</v>
      </c>
    </row>
    <row r="36" spans="1:56">
      <c r="A36" s="587" t="str">
        <f>'BANCO DADOS-CUSTO TOTAL'!C39</f>
        <v>Belo Horizonte</v>
      </c>
      <c r="B36" s="588" t="str">
        <f>'BANCO DADOS-CUSTO TOTAL'!H39</f>
        <v>BELTRANO 12364</v>
      </c>
      <c r="C36" s="588" t="str">
        <f>'BANCO DADOS-CUSTO TOTAL'!I39</f>
        <v>VIGILANTE ARMADO - 12X36 DIURNO</v>
      </c>
      <c r="D36" s="172"/>
      <c r="E36" s="172"/>
      <c r="F36" s="167">
        <v>42370</v>
      </c>
      <c r="G36" s="167">
        <v>42399</v>
      </c>
      <c r="H36" s="168">
        <f t="shared" si="16"/>
        <v>1869.08</v>
      </c>
      <c r="I36" s="169">
        <f>'BANCO DADOS-CUSTO TOTAL'!Y39</f>
        <v>2277.88</v>
      </c>
      <c r="J36" s="170">
        <f t="shared" si="17"/>
        <v>30</v>
      </c>
      <c r="K36" s="170">
        <f t="shared" si="18"/>
        <v>1</v>
      </c>
      <c r="L36" s="170">
        <f t="shared" si="19"/>
        <v>0</v>
      </c>
      <c r="M36" s="171">
        <f t="shared" si="20"/>
        <v>155.69436399999998</v>
      </c>
      <c r="N36" s="171">
        <f t="shared" si="21"/>
        <v>189.74740400000002</v>
      </c>
      <c r="O36" s="171">
        <f t="shared" si="22"/>
        <v>34.053040000000038</v>
      </c>
      <c r="P36" s="167">
        <f t="shared" si="23"/>
        <v>42370</v>
      </c>
      <c r="Q36" s="167">
        <f t="shared" si="24"/>
        <v>42399</v>
      </c>
      <c r="R36" s="168">
        <f t="shared" si="25"/>
        <v>1869.08</v>
      </c>
      <c r="S36" s="169">
        <f t="shared" si="26"/>
        <v>2277.88</v>
      </c>
      <c r="T36" s="170">
        <f t="shared" si="27"/>
        <v>30</v>
      </c>
      <c r="U36" s="170">
        <f t="shared" si="28"/>
        <v>1</v>
      </c>
      <c r="V36" s="170">
        <f t="shared" si="29"/>
        <v>0</v>
      </c>
      <c r="W36" s="171">
        <f t="shared" si="30"/>
        <v>207.654788</v>
      </c>
      <c r="X36" s="171">
        <f t="shared" si="31"/>
        <v>253.07246800000001</v>
      </c>
      <c r="Y36" s="171">
        <f t="shared" si="32"/>
        <v>45.417680000000018</v>
      </c>
      <c r="Z36" s="167">
        <f t="shared" si="33"/>
        <v>42370</v>
      </c>
      <c r="AA36" s="167">
        <f t="shared" si="34"/>
        <v>42399</v>
      </c>
      <c r="AB36" s="168">
        <f t="shared" si="35"/>
        <v>1869.08</v>
      </c>
      <c r="AC36" s="169">
        <f t="shared" si="36"/>
        <v>2277.88</v>
      </c>
      <c r="AD36" s="170">
        <f t="shared" si="37"/>
        <v>30</v>
      </c>
      <c r="AE36" s="170">
        <f t="shared" si="38"/>
        <v>1</v>
      </c>
      <c r="AF36" s="170">
        <f t="shared" si="39"/>
        <v>0</v>
      </c>
      <c r="AG36" s="171">
        <f t="shared" si="40"/>
        <v>80.370439999999988</v>
      </c>
      <c r="AH36" s="171">
        <f t="shared" si="41"/>
        <v>97.94883999999999</v>
      </c>
      <c r="AI36" s="171">
        <f t="shared" si="42"/>
        <v>17.578400000000002</v>
      </c>
      <c r="AJ36" s="167">
        <f t="shared" si="43"/>
        <v>42370</v>
      </c>
      <c r="AK36" s="167">
        <f t="shared" si="44"/>
        <v>42399</v>
      </c>
      <c r="AL36" s="168">
        <f t="shared" si="45"/>
        <v>1869.08</v>
      </c>
      <c r="AM36" s="169">
        <f t="shared" si="46"/>
        <v>2277.88</v>
      </c>
      <c r="AN36" s="170">
        <f t="shared" si="47"/>
        <v>30</v>
      </c>
      <c r="AO36" s="170">
        <f t="shared" si="48"/>
        <v>1</v>
      </c>
      <c r="AP36" s="170">
        <f t="shared" si="49"/>
        <v>0</v>
      </c>
      <c r="AQ36" s="171">
        <f t="shared" si="50"/>
        <v>57.295525951999991</v>
      </c>
      <c r="AR36" s="171">
        <f t="shared" si="51"/>
        <v>69.827044672</v>
      </c>
      <c r="AS36" s="171">
        <f t="shared" si="52"/>
        <v>12.531518720000008</v>
      </c>
      <c r="AT36" s="167">
        <f t="shared" si="53"/>
        <v>42370</v>
      </c>
      <c r="AU36" s="167">
        <f t="shared" si="54"/>
        <v>42399</v>
      </c>
      <c r="AV36" s="168">
        <f t="shared" si="55"/>
        <v>1869.08</v>
      </c>
      <c r="AW36" s="169">
        <f t="shared" si="56"/>
        <v>2277.88</v>
      </c>
      <c r="AX36" s="170">
        <f t="shared" si="57"/>
        <v>30</v>
      </c>
      <c r="AY36" s="170">
        <f t="shared" si="58"/>
        <v>1</v>
      </c>
      <c r="AZ36" s="170">
        <f t="shared" si="59"/>
        <v>0</v>
      </c>
      <c r="BA36" s="171">
        <f t="shared" si="60"/>
        <v>76.416961983999997</v>
      </c>
      <c r="BB36" s="171">
        <f t="shared" si="61"/>
        <v>93.130668224000004</v>
      </c>
      <c r="BC36" s="171">
        <f t="shared" si="62"/>
        <v>16.713706240000008</v>
      </c>
      <c r="BD36" s="171">
        <f t="shared" si="63"/>
        <v>126.29434496000007</v>
      </c>
    </row>
    <row r="37" spans="1:56">
      <c r="A37" s="587" t="str">
        <f>'BANCO DADOS-CUSTO TOTAL'!C40</f>
        <v>Belo Horizonte</v>
      </c>
      <c r="B37" s="588" t="str">
        <f>'BANCO DADOS-CUSTO TOTAL'!H40</f>
        <v>BELTRANO 12365</v>
      </c>
      <c r="C37" s="588" t="str">
        <f>'BANCO DADOS-CUSTO TOTAL'!I40</f>
        <v>VIGILANTE ARMADO - 12X36 DIURNO</v>
      </c>
      <c r="D37" s="172"/>
      <c r="E37" s="172"/>
      <c r="F37" s="167">
        <v>42370</v>
      </c>
      <c r="G37" s="167">
        <v>42399</v>
      </c>
      <c r="H37" s="168">
        <f t="shared" si="16"/>
        <v>1869.08</v>
      </c>
      <c r="I37" s="169">
        <f>'BANCO DADOS-CUSTO TOTAL'!Y40</f>
        <v>2277.88</v>
      </c>
      <c r="J37" s="170">
        <f t="shared" si="17"/>
        <v>30</v>
      </c>
      <c r="K37" s="170">
        <f t="shared" si="18"/>
        <v>1</v>
      </c>
      <c r="L37" s="170">
        <f t="shared" si="19"/>
        <v>0</v>
      </c>
      <c r="M37" s="171">
        <f t="shared" si="20"/>
        <v>155.69436399999998</v>
      </c>
      <c r="N37" s="171">
        <f t="shared" si="21"/>
        <v>189.74740400000002</v>
      </c>
      <c r="O37" s="171">
        <f t="shared" si="22"/>
        <v>34.053040000000038</v>
      </c>
      <c r="P37" s="167">
        <f t="shared" si="23"/>
        <v>42370</v>
      </c>
      <c r="Q37" s="167">
        <f t="shared" si="24"/>
        <v>42399</v>
      </c>
      <c r="R37" s="168">
        <f t="shared" si="25"/>
        <v>1869.08</v>
      </c>
      <c r="S37" s="169">
        <f t="shared" si="26"/>
        <v>2277.88</v>
      </c>
      <c r="T37" s="170">
        <f t="shared" si="27"/>
        <v>30</v>
      </c>
      <c r="U37" s="170">
        <f t="shared" si="28"/>
        <v>1</v>
      </c>
      <c r="V37" s="170">
        <f t="shared" si="29"/>
        <v>0</v>
      </c>
      <c r="W37" s="171">
        <f t="shared" si="30"/>
        <v>207.654788</v>
      </c>
      <c r="X37" s="171">
        <f t="shared" si="31"/>
        <v>253.07246800000001</v>
      </c>
      <c r="Y37" s="171">
        <f t="shared" si="32"/>
        <v>45.417680000000018</v>
      </c>
      <c r="Z37" s="167">
        <f t="shared" si="33"/>
        <v>42370</v>
      </c>
      <c r="AA37" s="167">
        <f t="shared" si="34"/>
        <v>42399</v>
      </c>
      <c r="AB37" s="168">
        <f t="shared" si="35"/>
        <v>1869.08</v>
      </c>
      <c r="AC37" s="169">
        <f t="shared" si="36"/>
        <v>2277.88</v>
      </c>
      <c r="AD37" s="170">
        <f t="shared" si="37"/>
        <v>30</v>
      </c>
      <c r="AE37" s="170">
        <f t="shared" si="38"/>
        <v>1</v>
      </c>
      <c r="AF37" s="170">
        <f t="shared" si="39"/>
        <v>0</v>
      </c>
      <c r="AG37" s="171">
        <f t="shared" si="40"/>
        <v>80.370439999999988</v>
      </c>
      <c r="AH37" s="171">
        <f t="shared" si="41"/>
        <v>97.94883999999999</v>
      </c>
      <c r="AI37" s="171">
        <f t="shared" si="42"/>
        <v>17.578400000000002</v>
      </c>
      <c r="AJ37" s="167">
        <f t="shared" si="43"/>
        <v>42370</v>
      </c>
      <c r="AK37" s="167">
        <f t="shared" si="44"/>
        <v>42399</v>
      </c>
      <c r="AL37" s="168">
        <f t="shared" si="45"/>
        <v>1869.08</v>
      </c>
      <c r="AM37" s="169">
        <f t="shared" si="46"/>
        <v>2277.88</v>
      </c>
      <c r="AN37" s="170">
        <f t="shared" si="47"/>
        <v>30</v>
      </c>
      <c r="AO37" s="170">
        <f t="shared" si="48"/>
        <v>1</v>
      </c>
      <c r="AP37" s="170">
        <f t="shared" si="49"/>
        <v>0</v>
      </c>
      <c r="AQ37" s="171">
        <f t="shared" si="50"/>
        <v>57.295525951999991</v>
      </c>
      <c r="AR37" s="171">
        <f t="shared" si="51"/>
        <v>69.827044672</v>
      </c>
      <c r="AS37" s="171">
        <f t="shared" si="52"/>
        <v>12.531518720000008</v>
      </c>
      <c r="AT37" s="167">
        <f t="shared" si="53"/>
        <v>42370</v>
      </c>
      <c r="AU37" s="167">
        <f t="shared" si="54"/>
        <v>42399</v>
      </c>
      <c r="AV37" s="168">
        <f t="shared" si="55"/>
        <v>1869.08</v>
      </c>
      <c r="AW37" s="169">
        <f t="shared" si="56"/>
        <v>2277.88</v>
      </c>
      <c r="AX37" s="170">
        <f t="shared" si="57"/>
        <v>30</v>
      </c>
      <c r="AY37" s="170">
        <f t="shared" si="58"/>
        <v>1</v>
      </c>
      <c r="AZ37" s="170">
        <f t="shared" si="59"/>
        <v>0</v>
      </c>
      <c r="BA37" s="171">
        <f t="shared" si="60"/>
        <v>76.416961983999997</v>
      </c>
      <c r="BB37" s="171">
        <f t="shared" si="61"/>
        <v>93.130668224000004</v>
      </c>
      <c r="BC37" s="171">
        <f t="shared" si="62"/>
        <v>16.713706240000008</v>
      </c>
      <c r="BD37" s="171">
        <f t="shared" si="63"/>
        <v>126.29434496000007</v>
      </c>
    </row>
    <row r="38" spans="1:56" s="153" customFormat="1">
      <c r="A38" s="587" t="str">
        <f>'BANCO DADOS-CUSTO TOTAL'!C41</f>
        <v>Belo Horizonte</v>
      </c>
      <c r="B38" s="588" t="str">
        <f>'BANCO DADOS-CUSTO TOTAL'!H41</f>
        <v>BELTRANO 12366</v>
      </c>
      <c r="C38" s="588" t="str">
        <f>'BANCO DADOS-CUSTO TOTAL'!I41</f>
        <v>VIGILANTE ARMADO - 12X36 NOTURNO</v>
      </c>
      <c r="D38" s="590"/>
      <c r="E38" s="590"/>
      <c r="F38" s="167">
        <v>42370</v>
      </c>
      <c r="G38" s="167">
        <v>42399</v>
      </c>
      <c r="H38" s="168">
        <f t="shared" si="16"/>
        <v>2229.92</v>
      </c>
      <c r="I38" s="169">
        <f>'BANCO DADOS-CUSTO TOTAL'!Y41</f>
        <v>2717.9</v>
      </c>
      <c r="J38" s="170">
        <f t="shared" si="17"/>
        <v>30</v>
      </c>
      <c r="K38" s="170">
        <f t="shared" si="18"/>
        <v>1</v>
      </c>
      <c r="L38" s="170">
        <f t="shared" si="19"/>
        <v>0</v>
      </c>
      <c r="M38" s="171">
        <f t="shared" si="20"/>
        <v>185.75233600000001</v>
      </c>
      <c r="N38" s="171">
        <f t="shared" si="21"/>
        <v>226.40107</v>
      </c>
      <c r="O38" s="171">
        <f t="shared" si="22"/>
        <v>40.64873399999999</v>
      </c>
      <c r="P38" s="167">
        <f t="shared" si="23"/>
        <v>42370</v>
      </c>
      <c r="Q38" s="167">
        <f t="shared" si="24"/>
        <v>42399</v>
      </c>
      <c r="R38" s="168">
        <f t="shared" si="25"/>
        <v>2229.92</v>
      </c>
      <c r="S38" s="169">
        <f t="shared" si="26"/>
        <v>2717.9</v>
      </c>
      <c r="T38" s="170">
        <f t="shared" si="27"/>
        <v>30</v>
      </c>
      <c r="U38" s="170">
        <f t="shared" si="28"/>
        <v>1</v>
      </c>
      <c r="V38" s="170">
        <f t="shared" si="29"/>
        <v>0</v>
      </c>
      <c r="W38" s="171">
        <f t="shared" si="30"/>
        <v>247.74411200000003</v>
      </c>
      <c r="X38" s="171">
        <f t="shared" si="31"/>
        <v>301.95869000000005</v>
      </c>
      <c r="Y38" s="171">
        <f t="shared" si="32"/>
        <v>54.214578000000017</v>
      </c>
      <c r="Z38" s="167">
        <f t="shared" si="33"/>
        <v>42370</v>
      </c>
      <c r="AA38" s="167">
        <f t="shared" si="34"/>
        <v>42399</v>
      </c>
      <c r="AB38" s="168">
        <f t="shared" si="35"/>
        <v>2229.92</v>
      </c>
      <c r="AC38" s="169">
        <f t="shared" si="36"/>
        <v>2717.9</v>
      </c>
      <c r="AD38" s="170">
        <f t="shared" si="37"/>
        <v>30</v>
      </c>
      <c r="AE38" s="170">
        <f t="shared" si="38"/>
        <v>1</v>
      </c>
      <c r="AF38" s="170">
        <f t="shared" si="39"/>
        <v>0</v>
      </c>
      <c r="AG38" s="171">
        <f t="shared" si="40"/>
        <v>95.886559999999989</v>
      </c>
      <c r="AH38" s="171">
        <f t="shared" si="41"/>
        <v>116.86969999999999</v>
      </c>
      <c r="AI38" s="171">
        <f t="shared" si="42"/>
        <v>20.983140000000006</v>
      </c>
      <c r="AJ38" s="167">
        <f t="shared" si="43"/>
        <v>42370</v>
      </c>
      <c r="AK38" s="167">
        <f t="shared" si="44"/>
        <v>42399</v>
      </c>
      <c r="AL38" s="168">
        <f t="shared" si="45"/>
        <v>2229.92</v>
      </c>
      <c r="AM38" s="169">
        <f t="shared" si="46"/>
        <v>2717.9</v>
      </c>
      <c r="AN38" s="170">
        <f t="shared" si="47"/>
        <v>30</v>
      </c>
      <c r="AO38" s="170">
        <f t="shared" si="48"/>
        <v>1</v>
      </c>
      <c r="AP38" s="170">
        <f t="shared" si="49"/>
        <v>0</v>
      </c>
      <c r="AQ38" s="171">
        <f t="shared" si="50"/>
        <v>68.356859647999997</v>
      </c>
      <c r="AR38" s="171">
        <f t="shared" si="51"/>
        <v>83.315593759999999</v>
      </c>
      <c r="AS38" s="171">
        <f t="shared" si="52"/>
        <v>14.958734112000002</v>
      </c>
      <c r="AT38" s="167">
        <f t="shared" si="53"/>
        <v>42370</v>
      </c>
      <c r="AU38" s="167">
        <f t="shared" si="54"/>
        <v>42399</v>
      </c>
      <c r="AV38" s="168">
        <f t="shared" si="55"/>
        <v>2229.92</v>
      </c>
      <c r="AW38" s="169">
        <f t="shared" si="56"/>
        <v>2717.9</v>
      </c>
      <c r="AX38" s="170">
        <f t="shared" si="57"/>
        <v>30</v>
      </c>
      <c r="AY38" s="170">
        <f t="shared" si="58"/>
        <v>1</v>
      </c>
      <c r="AZ38" s="170">
        <f t="shared" si="59"/>
        <v>0</v>
      </c>
      <c r="BA38" s="171">
        <f t="shared" si="60"/>
        <v>91.169833216000001</v>
      </c>
      <c r="BB38" s="171">
        <f t="shared" si="61"/>
        <v>111.12079792</v>
      </c>
      <c r="BC38" s="171">
        <f t="shared" si="62"/>
        <v>19.950964704</v>
      </c>
      <c r="BD38" s="171">
        <f t="shared" si="63"/>
        <v>150.756150816</v>
      </c>
    </row>
    <row r="39" spans="1:56">
      <c r="A39" s="587" t="str">
        <f>'BANCO DADOS-CUSTO TOTAL'!C42</f>
        <v>Belo Horizonte</v>
      </c>
      <c r="B39" s="588" t="str">
        <f>'BANCO DADOS-CUSTO TOTAL'!H42</f>
        <v>BELTRANO 12367</v>
      </c>
      <c r="C39" s="588" t="str">
        <f>'BANCO DADOS-CUSTO TOTAL'!I42</f>
        <v>VIGILANTE ARMADO - 12X36 NOTURNO</v>
      </c>
      <c r="D39" s="172"/>
      <c r="E39" s="172"/>
      <c r="F39" s="167">
        <v>42370</v>
      </c>
      <c r="G39" s="167">
        <v>42399</v>
      </c>
      <c r="H39" s="168">
        <f t="shared" si="16"/>
        <v>2229.92</v>
      </c>
      <c r="I39" s="169">
        <f>'BANCO DADOS-CUSTO TOTAL'!Y42</f>
        <v>2717.9</v>
      </c>
      <c r="J39" s="170">
        <f t="shared" si="17"/>
        <v>30</v>
      </c>
      <c r="K39" s="170">
        <f t="shared" si="18"/>
        <v>1</v>
      </c>
      <c r="L39" s="170">
        <f t="shared" si="19"/>
        <v>0</v>
      </c>
      <c r="M39" s="171">
        <f t="shared" si="20"/>
        <v>185.75233600000001</v>
      </c>
      <c r="N39" s="171">
        <f t="shared" si="21"/>
        <v>226.40107</v>
      </c>
      <c r="O39" s="171">
        <f t="shared" si="22"/>
        <v>40.64873399999999</v>
      </c>
      <c r="P39" s="167">
        <f t="shared" si="23"/>
        <v>42370</v>
      </c>
      <c r="Q39" s="167">
        <f t="shared" si="24"/>
        <v>42399</v>
      </c>
      <c r="R39" s="168">
        <f t="shared" si="25"/>
        <v>2229.92</v>
      </c>
      <c r="S39" s="169">
        <f t="shared" si="26"/>
        <v>2717.9</v>
      </c>
      <c r="T39" s="170">
        <f t="shared" si="27"/>
        <v>30</v>
      </c>
      <c r="U39" s="170">
        <f t="shared" si="28"/>
        <v>1</v>
      </c>
      <c r="V39" s="170">
        <f t="shared" si="29"/>
        <v>0</v>
      </c>
      <c r="W39" s="171">
        <f t="shared" si="30"/>
        <v>247.74411200000003</v>
      </c>
      <c r="X39" s="171">
        <f t="shared" si="31"/>
        <v>301.95869000000005</v>
      </c>
      <c r="Y39" s="171">
        <f t="shared" si="32"/>
        <v>54.214578000000017</v>
      </c>
      <c r="Z39" s="167">
        <f t="shared" si="33"/>
        <v>42370</v>
      </c>
      <c r="AA39" s="167">
        <f t="shared" si="34"/>
        <v>42399</v>
      </c>
      <c r="AB39" s="168">
        <f t="shared" si="35"/>
        <v>2229.92</v>
      </c>
      <c r="AC39" s="169">
        <f t="shared" si="36"/>
        <v>2717.9</v>
      </c>
      <c r="AD39" s="170">
        <f t="shared" si="37"/>
        <v>30</v>
      </c>
      <c r="AE39" s="170">
        <f t="shared" si="38"/>
        <v>1</v>
      </c>
      <c r="AF39" s="170">
        <f t="shared" si="39"/>
        <v>0</v>
      </c>
      <c r="AG39" s="171">
        <f t="shared" si="40"/>
        <v>95.886559999999989</v>
      </c>
      <c r="AH39" s="171">
        <f t="shared" si="41"/>
        <v>116.86969999999999</v>
      </c>
      <c r="AI39" s="171">
        <f t="shared" si="42"/>
        <v>20.983140000000006</v>
      </c>
      <c r="AJ39" s="167">
        <f t="shared" si="43"/>
        <v>42370</v>
      </c>
      <c r="AK39" s="167">
        <f t="shared" si="44"/>
        <v>42399</v>
      </c>
      <c r="AL39" s="168">
        <f t="shared" si="45"/>
        <v>2229.92</v>
      </c>
      <c r="AM39" s="169">
        <f t="shared" si="46"/>
        <v>2717.9</v>
      </c>
      <c r="AN39" s="170">
        <f t="shared" si="47"/>
        <v>30</v>
      </c>
      <c r="AO39" s="170">
        <f t="shared" si="48"/>
        <v>1</v>
      </c>
      <c r="AP39" s="170">
        <f t="shared" si="49"/>
        <v>0</v>
      </c>
      <c r="AQ39" s="171">
        <f t="shared" si="50"/>
        <v>68.356859647999997</v>
      </c>
      <c r="AR39" s="171">
        <f t="shared" si="51"/>
        <v>83.315593759999999</v>
      </c>
      <c r="AS39" s="171">
        <f t="shared" si="52"/>
        <v>14.958734112000002</v>
      </c>
      <c r="AT39" s="167">
        <f t="shared" si="53"/>
        <v>42370</v>
      </c>
      <c r="AU39" s="167">
        <f t="shared" si="54"/>
        <v>42399</v>
      </c>
      <c r="AV39" s="168">
        <f t="shared" si="55"/>
        <v>2229.92</v>
      </c>
      <c r="AW39" s="169">
        <f t="shared" si="56"/>
        <v>2717.9</v>
      </c>
      <c r="AX39" s="170">
        <f t="shared" si="57"/>
        <v>30</v>
      </c>
      <c r="AY39" s="170">
        <f t="shared" si="58"/>
        <v>1</v>
      </c>
      <c r="AZ39" s="170">
        <f t="shared" si="59"/>
        <v>0</v>
      </c>
      <c r="BA39" s="171">
        <f t="shared" si="60"/>
        <v>91.169833216000001</v>
      </c>
      <c r="BB39" s="171">
        <f t="shared" si="61"/>
        <v>111.12079792</v>
      </c>
      <c r="BC39" s="171">
        <f t="shared" si="62"/>
        <v>19.950964704</v>
      </c>
      <c r="BD39" s="171">
        <f t="shared" si="63"/>
        <v>150.756150816</v>
      </c>
    </row>
    <row r="40" spans="1:56">
      <c r="A40" s="587" t="str">
        <f>'BANCO DADOS-CUSTO TOTAL'!C43</f>
        <v>Belo Horizonte</v>
      </c>
      <c r="B40" s="588" t="str">
        <f>'BANCO DADOS-CUSTO TOTAL'!H43</f>
        <v>BELTRANO 12368</v>
      </c>
      <c r="C40" s="588" t="str">
        <f>'BANCO DADOS-CUSTO TOTAL'!I43</f>
        <v>VIGILANTE ARMADO - 12X36 NOTURNO</v>
      </c>
      <c r="D40" s="172"/>
      <c r="E40" s="172"/>
      <c r="F40" s="167">
        <v>42370</v>
      </c>
      <c r="G40" s="167">
        <v>42399</v>
      </c>
      <c r="H40" s="168">
        <f t="shared" si="16"/>
        <v>2229.92</v>
      </c>
      <c r="I40" s="169">
        <f>'BANCO DADOS-CUSTO TOTAL'!Y43</f>
        <v>2717.9</v>
      </c>
      <c r="J40" s="170">
        <f t="shared" si="17"/>
        <v>30</v>
      </c>
      <c r="K40" s="170">
        <f t="shared" si="18"/>
        <v>1</v>
      </c>
      <c r="L40" s="170">
        <f t="shared" si="19"/>
        <v>0</v>
      </c>
      <c r="M40" s="171">
        <f t="shared" si="20"/>
        <v>185.75233600000001</v>
      </c>
      <c r="N40" s="171">
        <f t="shared" si="21"/>
        <v>226.40107</v>
      </c>
      <c r="O40" s="171">
        <f t="shared" si="22"/>
        <v>40.64873399999999</v>
      </c>
      <c r="P40" s="167">
        <f t="shared" si="23"/>
        <v>42370</v>
      </c>
      <c r="Q40" s="167">
        <f t="shared" si="24"/>
        <v>42399</v>
      </c>
      <c r="R40" s="168">
        <f t="shared" si="25"/>
        <v>2229.92</v>
      </c>
      <c r="S40" s="169">
        <f t="shared" si="26"/>
        <v>2717.9</v>
      </c>
      <c r="T40" s="170">
        <f t="shared" si="27"/>
        <v>30</v>
      </c>
      <c r="U40" s="170">
        <f t="shared" si="28"/>
        <v>1</v>
      </c>
      <c r="V40" s="170">
        <f t="shared" si="29"/>
        <v>0</v>
      </c>
      <c r="W40" s="171">
        <f t="shared" si="30"/>
        <v>247.74411200000003</v>
      </c>
      <c r="X40" s="171">
        <f t="shared" si="31"/>
        <v>301.95869000000005</v>
      </c>
      <c r="Y40" s="171">
        <f t="shared" si="32"/>
        <v>54.214578000000017</v>
      </c>
      <c r="Z40" s="167">
        <f t="shared" si="33"/>
        <v>42370</v>
      </c>
      <c r="AA40" s="167">
        <f t="shared" si="34"/>
        <v>42399</v>
      </c>
      <c r="AB40" s="168">
        <f t="shared" si="35"/>
        <v>2229.92</v>
      </c>
      <c r="AC40" s="169">
        <f t="shared" si="36"/>
        <v>2717.9</v>
      </c>
      <c r="AD40" s="170">
        <f t="shared" si="37"/>
        <v>30</v>
      </c>
      <c r="AE40" s="170">
        <f t="shared" si="38"/>
        <v>1</v>
      </c>
      <c r="AF40" s="170">
        <f t="shared" si="39"/>
        <v>0</v>
      </c>
      <c r="AG40" s="171">
        <f t="shared" si="40"/>
        <v>95.886559999999989</v>
      </c>
      <c r="AH40" s="171">
        <f t="shared" si="41"/>
        <v>116.86969999999999</v>
      </c>
      <c r="AI40" s="171">
        <f t="shared" si="42"/>
        <v>20.983140000000006</v>
      </c>
      <c r="AJ40" s="167">
        <f t="shared" si="43"/>
        <v>42370</v>
      </c>
      <c r="AK40" s="167">
        <f t="shared" si="44"/>
        <v>42399</v>
      </c>
      <c r="AL40" s="168">
        <f t="shared" si="45"/>
        <v>2229.92</v>
      </c>
      <c r="AM40" s="169">
        <f t="shared" si="46"/>
        <v>2717.9</v>
      </c>
      <c r="AN40" s="170">
        <f t="shared" si="47"/>
        <v>30</v>
      </c>
      <c r="AO40" s="170">
        <f t="shared" si="48"/>
        <v>1</v>
      </c>
      <c r="AP40" s="170">
        <f t="shared" si="49"/>
        <v>0</v>
      </c>
      <c r="AQ40" s="171">
        <f t="shared" si="50"/>
        <v>68.356859647999997</v>
      </c>
      <c r="AR40" s="171">
        <f t="shared" si="51"/>
        <v>83.315593759999999</v>
      </c>
      <c r="AS40" s="171">
        <f t="shared" si="52"/>
        <v>14.958734112000002</v>
      </c>
      <c r="AT40" s="167">
        <f t="shared" si="53"/>
        <v>42370</v>
      </c>
      <c r="AU40" s="167">
        <f t="shared" si="54"/>
        <v>42399</v>
      </c>
      <c r="AV40" s="168">
        <f t="shared" si="55"/>
        <v>2229.92</v>
      </c>
      <c r="AW40" s="169">
        <f t="shared" si="56"/>
        <v>2717.9</v>
      </c>
      <c r="AX40" s="170">
        <f t="shared" si="57"/>
        <v>30</v>
      </c>
      <c r="AY40" s="170">
        <f t="shared" si="58"/>
        <v>1</v>
      </c>
      <c r="AZ40" s="170">
        <f t="shared" si="59"/>
        <v>0</v>
      </c>
      <c r="BA40" s="171">
        <f t="shared" si="60"/>
        <v>91.169833216000001</v>
      </c>
      <c r="BB40" s="171">
        <f t="shared" si="61"/>
        <v>111.12079792</v>
      </c>
      <c r="BC40" s="171">
        <f t="shared" si="62"/>
        <v>19.950964704</v>
      </c>
      <c r="BD40" s="171">
        <f t="shared" si="63"/>
        <v>150.756150816</v>
      </c>
    </row>
    <row r="41" spans="1:56">
      <c r="A41" s="587" t="str">
        <f>'BANCO DADOS-CUSTO TOTAL'!C44</f>
        <v>Belo Horizonte</v>
      </c>
      <c r="B41" s="588" t="str">
        <f>'BANCO DADOS-CUSTO TOTAL'!H44</f>
        <v>BELTRANO 12369</v>
      </c>
      <c r="C41" s="588" t="str">
        <f>'BANCO DADOS-CUSTO TOTAL'!I44</f>
        <v>VIGILANTE ARMADO - 12X36 NOTURNO</v>
      </c>
      <c r="D41" s="172"/>
      <c r="E41" s="172"/>
      <c r="F41" s="167">
        <v>42370</v>
      </c>
      <c r="G41" s="167">
        <v>42399</v>
      </c>
      <c r="H41" s="168">
        <f t="shared" si="16"/>
        <v>2229.92</v>
      </c>
      <c r="I41" s="169">
        <f>'BANCO DADOS-CUSTO TOTAL'!Y44</f>
        <v>2717.9</v>
      </c>
      <c r="J41" s="170">
        <f t="shared" si="17"/>
        <v>30</v>
      </c>
      <c r="K41" s="170">
        <f t="shared" si="18"/>
        <v>1</v>
      </c>
      <c r="L41" s="170">
        <f t="shared" si="19"/>
        <v>0</v>
      </c>
      <c r="M41" s="171">
        <f t="shared" si="20"/>
        <v>185.75233600000001</v>
      </c>
      <c r="N41" s="171">
        <f t="shared" si="21"/>
        <v>226.40107</v>
      </c>
      <c r="O41" s="171">
        <f t="shared" si="22"/>
        <v>40.64873399999999</v>
      </c>
      <c r="P41" s="167">
        <f t="shared" si="23"/>
        <v>42370</v>
      </c>
      <c r="Q41" s="167">
        <f t="shared" si="24"/>
        <v>42399</v>
      </c>
      <c r="R41" s="168">
        <f t="shared" si="25"/>
        <v>2229.92</v>
      </c>
      <c r="S41" s="169">
        <f t="shared" si="26"/>
        <v>2717.9</v>
      </c>
      <c r="T41" s="170">
        <f t="shared" si="27"/>
        <v>30</v>
      </c>
      <c r="U41" s="170">
        <f t="shared" si="28"/>
        <v>1</v>
      </c>
      <c r="V41" s="170">
        <f t="shared" si="29"/>
        <v>0</v>
      </c>
      <c r="W41" s="171">
        <f t="shared" si="30"/>
        <v>247.74411200000003</v>
      </c>
      <c r="X41" s="171">
        <f t="shared" si="31"/>
        <v>301.95869000000005</v>
      </c>
      <c r="Y41" s="171">
        <f t="shared" si="32"/>
        <v>54.214578000000017</v>
      </c>
      <c r="Z41" s="167">
        <f t="shared" si="33"/>
        <v>42370</v>
      </c>
      <c r="AA41" s="167">
        <f t="shared" si="34"/>
        <v>42399</v>
      </c>
      <c r="AB41" s="168">
        <f t="shared" si="35"/>
        <v>2229.92</v>
      </c>
      <c r="AC41" s="169">
        <f t="shared" si="36"/>
        <v>2717.9</v>
      </c>
      <c r="AD41" s="170">
        <f t="shared" si="37"/>
        <v>30</v>
      </c>
      <c r="AE41" s="170">
        <f t="shared" si="38"/>
        <v>1</v>
      </c>
      <c r="AF41" s="170">
        <f t="shared" si="39"/>
        <v>0</v>
      </c>
      <c r="AG41" s="171">
        <f t="shared" si="40"/>
        <v>95.886559999999989</v>
      </c>
      <c r="AH41" s="171">
        <f t="shared" si="41"/>
        <v>116.86969999999999</v>
      </c>
      <c r="AI41" s="171">
        <f t="shared" si="42"/>
        <v>20.983140000000006</v>
      </c>
      <c r="AJ41" s="167">
        <f t="shared" si="43"/>
        <v>42370</v>
      </c>
      <c r="AK41" s="167">
        <f t="shared" si="44"/>
        <v>42399</v>
      </c>
      <c r="AL41" s="168">
        <f t="shared" si="45"/>
        <v>2229.92</v>
      </c>
      <c r="AM41" s="169">
        <f t="shared" si="46"/>
        <v>2717.9</v>
      </c>
      <c r="AN41" s="170">
        <f t="shared" si="47"/>
        <v>30</v>
      </c>
      <c r="AO41" s="170">
        <f t="shared" si="48"/>
        <v>1</v>
      </c>
      <c r="AP41" s="170">
        <f t="shared" si="49"/>
        <v>0</v>
      </c>
      <c r="AQ41" s="171">
        <f t="shared" si="50"/>
        <v>68.356859647999997</v>
      </c>
      <c r="AR41" s="171">
        <f t="shared" si="51"/>
        <v>83.315593759999999</v>
      </c>
      <c r="AS41" s="171">
        <f t="shared" si="52"/>
        <v>14.958734112000002</v>
      </c>
      <c r="AT41" s="167">
        <f t="shared" si="53"/>
        <v>42370</v>
      </c>
      <c r="AU41" s="167">
        <f t="shared" si="54"/>
        <v>42399</v>
      </c>
      <c r="AV41" s="168">
        <f t="shared" si="55"/>
        <v>2229.92</v>
      </c>
      <c r="AW41" s="169">
        <f t="shared" si="56"/>
        <v>2717.9</v>
      </c>
      <c r="AX41" s="170">
        <f t="shared" si="57"/>
        <v>30</v>
      </c>
      <c r="AY41" s="170">
        <f t="shared" si="58"/>
        <v>1</v>
      </c>
      <c r="AZ41" s="170">
        <f t="shared" si="59"/>
        <v>0</v>
      </c>
      <c r="BA41" s="171">
        <f t="shared" si="60"/>
        <v>91.169833216000001</v>
      </c>
      <c r="BB41" s="171">
        <f t="shared" si="61"/>
        <v>111.12079792</v>
      </c>
      <c r="BC41" s="171">
        <f t="shared" si="62"/>
        <v>19.950964704</v>
      </c>
      <c r="BD41" s="171">
        <f t="shared" si="63"/>
        <v>150.756150816</v>
      </c>
    </row>
    <row r="42" spans="1:56">
      <c r="A42" s="587" t="str">
        <f>'BANCO DADOS-CUSTO TOTAL'!C45</f>
        <v>Belo Horizonte</v>
      </c>
      <c r="B42" s="588" t="str">
        <f>'BANCO DADOS-CUSTO TOTAL'!H45</f>
        <v>BELTRANO 124226</v>
      </c>
      <c r="C42" s="588" t="str">
        <f>'BANCO DADOS-CUSTO TOTAL'!I45</f>
        <v>VIGILANTE ARMADO - 12X36 NOTURNO</v>
      </c>
      <c r="D42" s="172"/>
      <c r="E42" s="172"/>
      <c r="F42" s="167"/>
      <c r="G42" s="167"/>
      <c r="H42" s="168"/>
      <c r="I42" s="169"/>
      <c r="J42" s="170">
        <f t="shared" si="17"/>
        <v>0</v>
      </c>
      <c r="K42" s="170">
        <f t="shared" si="18"/>
        <v>0</v>
      </c>
      <c r="L42" s="170">
        <f t="shared" si="19"/>
        <v>0</v>
      </c>
      <c r="M42" s="171">
        <f t="shared" si="20"/>
        <v>0</v>
      </c>
      <c r="N42" s="171">
        <f t="shared" si="21"/>
        <v>0</v>
      </c>
      <c r="O42" s="171">
        <f t="shared" si="22"/>
        <v>0</v>
      </c>
      <c r="P42" s="167">
        <f t="shared" si="23"/>
        <v>0</v>
      </c>
      <c r="Q42" s="167">
        <f t="shared" si="24"/>
        <v>0</v>
      </c>
      <c r="R42" s="168">
        <f t="shared" si="25"/>
        <v>0</v>
      </c>
      <c r="S42" s="169">
        <f t="shared" si="26"/>
        <v>0</v>
      </c>
      <c r="T42" s="170">
        <f t="shared" si="27"/>
        <v>1</v>
      </c>
      <c r="U42" s="170">
        <f t="shared" si="28"/>
        <v>0</v>
      </c>
      <c r="V42" s="170">
        <f t="shared" si="29"/>
        <v>1</v>
      </c>
      <c r="W42" s="171">
        <f t="shared" si="30"/>
        <v>0</v>
      </c>
      <c r="X42" s="171">
        <f t="shared" si="31"/>
        <v>0</v>
      </c>
      <c r="Y42" s="171">
        <f t="shared" si="32"/>
        <v>0</v>
      </c>
      <c r="Z42" s="167">
        <f t="shared" si="33"/>
        <v>0</v>
      </c>
      <c r="AA42" s="167">
        <f t="shared" si="34"/>
        <v>0</v>
      </c>
      <c r="AB42" s="168">
        <f t="shared" si="35"/>
        <v>0</v>
      </c>
      <c r="AC42" s="169">
        <f t="shared" si="36"/>
        <v>0</v>
      </c>
      <c r="AD42" s="170">
        <f t="shared" si="37"/>
        <v>1</v>
      </c>
      <c r="AE42" s="170">
        <f t="shared" si="38"/>
        <v>0</v>
      </c>
      <c r="AF42" s="170">
        <f t="shared" si="39"/>
        <v>1</v>
      </c>
      <c r="AG42" s="171">
        <f t="shared" si="40"/>
        <v>0</v>
      </c>
      <c r="AH42" s="171">
        <f t="shared" si="41"/>
        <v>0</v>
      </c>
      <c r="AI42" s="171">
        <f t="shared" si="42"/>
        <v>0</v>
      </c>
      <c r="AJ42" s="167">
        <f t="shared" si="43"/>
        <v>0</v>
      </c>
      <c r="AK42" s="167">
        <f t="shared" si="44"/>
        <v>0</v>
      </c>
      <c r="AL42" s="168">
        <f t="shared" si="45"/>
        <v>0</v>
      </c>
      <c r="AM42" s="169">
        <f t="shared" si="46"/>
        <v>0</v>
      </c>
      <c r="AN42" s="170">
        <f t="shared" si="47"/>
        <v>1</v>
      </c>
      <c r="AO42" s="170">
        <f t="shared" si="48"/>
        <v>0</v>
      </c>
      <c r="AP42" s="170">
        <f t="shared" si="49"/>
        <v>1</v>
      </c>
      <c r="AQ42" s="171">
        <f t="shared" si="50"/>
        <v>0</v>
      </c>
      <c r="AR42" s="171">
        <f t="shared" si="51"/>
        <v>0</v>
      </c>
      <c r="AS42" s="171">
        <f t="shared" si="52"/>
        <v>0</v>
      </c>
      <c r="AT42" s="167">
        <f t="shared" si="53"/>
        <v>0</v>
      </c>
      <c r="AU42" s="167">
        <f t="shared" si="54"/>
        <v>0</v>
      </c>
      <c r="AV42" s="168">
        <f t="shared" si="55"/>
        <v>0</v>
      </c>
      <c r="AW42" s="169">
        <f t="shared" si="56"/>
        <v>0</v>
      </c>
      <c r="AX42" s="170">
        <f t="shared" si="57"/>
        <v>1</v>
      </c>
      <c r="AY42" s="170">
        <f t="shared" si="58"/>
        <v>0</v>
      </c>
      <c r="AZ42" s="170">
        <f t="shared" si="59"/>
        <v>1</v>
      </c>
      <c r="BA42" s="171">
        <f t="shared" si="60"/>
        <v>0</v>
      </c>
      <c r="BB42" s="171">
        <f t="shared" si="61"/>
        <v>0</v>
      </c>
      <c r="BC42" s="171">
        <f t="shared" si="62"/>
        <v>0</v>
      </c>
      <c r="BD42" s="171">
        <f t="shared" si="63"/>
        <v>0</v>
      </c>
    </row>
    <row r="43" spans="1:56">
      <c r="A43" s="587" t="str">
        <f>'BANCO DADOS-CUSTO TOTAL'!C46</f>
        <v>Belo Horizonte</v>
      </c>
      <c r="B43" s="588" t="str">
        <f>'BANCO DADOS-CUSTO TOTAL'!H46</f>
        <v>BELTRANO 12370</v>
      </c>
      <c r="C43" s="588" t="str">
        <f>'BANCO DADOS-CUSTO TOTAL'!I46</f>
        <v>VIGILANTE ARMADO - 12X36 NOTURNO</v>
      </c>
      <c r="D43" s="172"/>
      <c r="E43" s="172"/>
      <c r="F43" s="167">
        <v>42370</v>
      </c>
      <c r="G43" s="167">
        <v>42399</v>
      </c>
      <c r="H43" s="168">
        <f t="shared" si="16"/>
        <v>2229.92</v>
      </c>
      <c r="I43" s="169">
        <f>'BANCO DADOS-CUSTO TOTAL'!Y46</f>
        <v>2717.9</v>
      </c>
      <c r="J43" s="170">
        <f t="shared" si="17"/>
        <v>30</v>
      </c>
      <c r="K43" s="170">
        <f t="shared" si="18"/>
        <v>1</v>
      </c>
      <c r="L43" s="170">
        <f t="shared" si="19"/>
        <v>0</v>
      </c>
      <c r="M43" s="171">
        <f t="shared" si="20"/>
        <v>185.75233600000001</v>
      </c>
      <c r="N43" s="171">
        <f t="shared" si="21"/>
        <v>226.40107</v>
      </c>
      <c r="O43" s="171">
        <f t="shared" si="22"/>
        <v>40.64873399999999</v>
      </c>
      <c r="P43" s="167">
        <f t="shared" si="23"/>
        <v>42370</v>
      </c>
      <c r="Q43" s="167">
        <f t="shared" si="24"/>
        <v>42399</v>
      </c>
      <c r="R43" s="168">
        <f t="shared" si="25"/>
        <v>2229.92</v>
      </c>
      <c r="S43" s="169">
        <f t="shared" si="26"/>
        <v>2717.9</v>
      </c>
      <c r="T43" s="170">
        <f t="shared" si="27"/>
        <v>30</v>
      </c>
      <c r="U43" s="170">
        <f t="shared" si="28"/>
        <v>1</v>
      </c>
      <c r="V43" s="170">
        <f t="shared" si="29"/>
        <v>0</v>
      </c>
      <c r="W43" s="171">
        <f t="shared" si="30"/>
        <v>247.74411200000003</v>
      </c>
      <c r="X43" s="171">
        <f t="shared" si="31"/>
        <v>301.95869000000005</v>
      </c>
      <c r="Y43" s="171">
        <f t="shared" si="32"/>
        <v>54.214578000000017</v>
      </c>
      <c r="Z43" s="167">
        <f t="shared" si="33"/>
        <v>42370</v>
      </c>
      <c r="AA43" s="167">
        <f t="shared" si="34"/>
        <v>42399</v>
      </c>
      <c r="AB43" s="168">
        <f t="shared" si="35"/>
        <v>2229.92</v>
      </c>
      <c r="AC43" s="169">
        <f t="shared" si="36"/>
        <v>2717.9</v>
      </c>
      <c r="AD43" s="170">
        <f t="shared" si="37"/>
        <v>30</v>
      </c>
      <c r="AE43" s="170">
        <f t="shared" si="38"/>
        <v>1</v>
      </c>
      <c r="AF43" s="170">
        <f t="shared" si="39"/>
        <v>0</v>
      </c>
      <c r="AG43" s="171">
        <f t="shared" si="40"/>
        <v>95.886559999999989</v>
      </c>
      <c r="AH43" s="171">
        <f t="shared" si="41"/>
        <v>116.86969999999999</v>
      </c>
      <c r="AI43" s="171">
        <f t="shared" si="42"/>
        <v>20.983140000000006</v>
      </c>
      <c r="AJ43" s="167">
        <f t="shared" si="43"/>
        <v>42370</v>
      </c>
      <c r="AK43" s="167">
        <f t="shared" si="44"/>
        <v>42399</v>
      </c>
      <c r="AL43" s="168">
        <f t="shared" si="45"/>
        <v>2229.92</v>
      </c>
      <c r="AM43" s="169">
        <f t="shared" si="46"/>
        <v>2717.9</v>
      </c>
      <c r="AN43" s="170">
        <f t="shared" si="47"/>
        <v>30</v>
      </c>
      <c r="AO43" s="170">
        <f t="shared" si="48"/>
        <v>1</v>
      </c>
      <c r="AP43" s="170">
        <f t="shared" si="49"/>
        <v>0</v>
      </c>
      <c r="AQ43" s="171">
        <f t="shared" si="50"/>
        <v>68.356859647999997</v>
      </c>
      <c r="AR43" s="171">
        <f t="shared" si="51"/>
        <v>83.315593759999999</v>
      </c>
      <c r="AS43" s="171">
        <f t="shared" si="52"/>
        <v>14.958734112000002</v>
      </c>
      <c r="AT43" s="167">
        <f t="shared" si="53"/>
        <v>42370</v>
      </c>
      <c r="AU43" s="167">
        <f t="shared" si="54"/>
        <v>42399</v>
      </c>
      <c r="AV43" s="168">
        <f t="shared" si="55"/>
        <v>2229.92</v>
      </c>
      <c r="AW43" s="169">
        <f t="shared" si="56"/>
        <v>2717.9</v>
      </c>
      <c r="AX43" s="170">
        <f t="shared" si="57"/>
        <v>30</v>
      </c>
      <c r="AY43" s="170">
        <f t="shared" si="58"/>
        <v>1</v>
      </c>
      <c r="AZ43" s="170">
        <f t="shared" si="59"/>
        <v>0</v>
      </c>
      <c r="BA43" s="171">
        <f t="shared" si="60"/>
        <v>91.169833216000001</v>
      </c>
      <c r="BB43" s="171">
        <f t="shared" si="61"/>
        <v>111.12079792</v>
      </c>
      <c r="BC43" s="171">
        <f t="shared" si="62"/>
        <v>19.950964704</v>
      </c>
      <c r="BD43" s="171">
        <f t="shared" si="63"/>
        <v>150.756150816</v>
      </c>
    </row>
    <row r="44" spans="1:56">
      <c r="A44" s="587" t="str">
        <f>'BANCO DADOS-CUSTO TOTAL'!C47</f>
        <v>Belo Horizonte</v>
      </c>
      <c r="B44" s="588" t="str">
        <f>'BANCO DADOS-CUSTO TOTAL'!H47</f>
        <v>BELTRANO 12371</v>
      </c>
      <c r="C44" s="588" t="str">
        <f>'BANCO DADOS-CUSTO TOTAL'!I47</f>
        <v>VIGILANTE ARMADO - 12X36 NOTURNO</v>
      </c>
      <c r="D44" s="172"/>
      <c r="E44" s="172"/>
      <c r="F44" s="167">
        <v>42370</v>
      </c>
      <c r="G44" s="167">
        <v>42399</v>
      </c>
      <c r="H44" s="168">
        <f t="shared" si="16"/>
        <v>2229.92</v>
      </c>
      <c r="I44" s="169">
        <f>'BANCO DADOS-CUSTO TOTAL'!Y47</f>
        <v>2717.9</v>
      </c>
      <c r="J44" s="170">
        <f t="shared" si="17"/>
        <v>30</v>
      </c>
      <c r="K44" s="170">
        <f t="shared" si="18"/>
        <v>1</v>
      </c>
      <c r="L44" s="170">
        <f t="shared" si="19"/>
        <v>0</v>
      </c>
      <c r="M44" s="171">
        <f t="shared" si="20"/>
        <v>185.75233600000001</v>
      </c>
      <c r="N44" s="171">
        <f t="shared" si="21"/>
        <v>226.40107</v>
      </c>
      <c r="O44" s="171">
        <f t="shared" si="22"/>
        <v>40.64873399999999</v>
      </c>
      <c r="P44" s="167">
        <f t="shared" si="23"/>
        <v>42370</v>
      </c>
      <c r="Q44" s="167">
        <f t="shared" si="24"/>
        <v>42399</v>
      </c>
      <c r="R44" s="168">
        <f t="shared" si="25"/>
        <v>2229.92</v>
      </c>
      <c r="S44" s="169">
        <f t="shared" si="26"/>
        <v>2717.9</v>
      </c>
      <c r="T44" s="170">
        <f t="shared" si="27"/>
        <v>30</v>
      </c>
      <c r="U44" s="170">
        <f t="shared" si="28"/>
        <v>1</v>
      </c>
      <c r="V44" s="170">
        <f t="shared" si="29"/>
        <v>0</v>
      </c>
      <c r="W44" s="171">
        <f t="shared" si="30"/>
        <v>247.74411200000003</v>
      </c>
      <c r="X44" s="171">
        <f t="shared" si="31"/>
        <v>301.95869000000005</v>
      </c>
      <c r="Y44" s="171">
        <f t="shared" si="32"/>
        <v>54.214578000000017</v>
      </c>
      <c r="Z44" s="167">
        <f t="shared" si="33"/>
        <v>42370</v>
      </c>
      <c r="AA44" s="167">
        <f t="shared" si="34"/>
        <v>42399</v>
      </c>
      <c r="AB44" s="168">
        <f t="shared" si="35"/>
        <v>2229.92</v>
      </c>
      <c r="AC44" s="169">
        <f t="shared" si="36"/>
        <v>2717.9</v>
      </c>
      <c r="AD44" s="170">
        <f t="shared" si="37"/>
        <v>30</v>
      </c>
      <c r="AE44" s="170">
        <f t="shared" si="38"/>
        <v>1</v>
      </c>
      <c r="AF44" s="170">
        <f t="shared" si="39"/>
        <v>0</v>
      </c>
      <c r="AG44" s="171">
        <f t="shared" si="40"/>
        <v>95.886559999999989</v>
      </c>
      <c r="AH44" s="171">
        <f t="shared" si="41"/>
        <v>116.86969999999999</v>
      </c>
      <c r="AI44" s="171">
        <f t="shared" si="42"/>
        <v>20.983140000000006</v>
      </c>
      <c r="AJ44" s="167">
        <f t="shared" si="43"/>
        <v>42370</v>
      </c>
      <c r="AK44" s="167">
        <f t="shared" si="44"/>
        <v>42399</v>
      </c>
      <c r="AL44" s="168">
        <f t="shared" si="45"/>
        <v>2229.92</v>
      </c>
      <c r="AM44" s="169">
        <f t="shared" si="46"/>
        <v>2717.9</v>
      </c>
      <c r="AN44" s="170">
        <f t="shared" si="47"/>
        <v>30</v>
      </c>
      <c r="AO44" s="170">
        <f t="shared" si="48"/>
        <v>1</v>
      </c>
      <c r="AP44" s="170">
        <f t="shared" si="49"/>
        <v>0</v>
      </c>
      <c r="AQ44" s="171">
        <f t="shared" si="50"/>
        <v>68.356859647999997</v>
      </c>
      <c r="AR44" s="171">
        <f t="shared" si="51"/>
        <v>83.315593759999999</v>
      </c>
      <c r="AS44" s="171">
        <f t="shared" si="52"/>
        <v>14.958734112000002</v>
      </c>
      <c r="AT44" s="167">
        <f t="shared" si="53"/>
        <v>42370</v>
      </c>
      <c r="AU44" s="167">
        <f t="shared" si="54"/>
        <v>42399</v>
      </c>
      <c r="AV44" s="168">
        <f t="shared" si="55"/>
        <v>2229.92</v>
      </c>
      <c r="AW44" s="169">
        <f t="shared" si="56"/>
        <v>2717.9</v>
      </c>
      <c r="AX44" s="170">
        <f t="shared" si="57"/>
        <v>30</v>
      </c>
      <c r="AY44" s="170">
        <f t="shared" si="58"/>
        <v>1</v>
      </c>
      <c r="AZ44" s="170">
        <f t="shared" si="59"/>
        <v>0</v>
      </c>
      <c r="BA44" s="171">
        <f t="shared" si="60"/>
        <v>91.169833216000001</v>
      </c>
      <c r="BB44" s="171">
        <f t="shared" si="61"/>
        <v>111.12079792</v>
      </c>
      <c r="BC44" s="171">
        <f t="shared" si="62"/>
        <v>19.950964704</v>
      </c>
      <c r="BD44" s="171">
        <f t="shared" si="63"/>
        <v>150.756150816</v>
      </c>
    </row>
    <row r="45" spans="1:56">
      <c r="A45" s="587" t="str">
        <f>'BANCO DADOS-CUSTO TOTAL'!C48</f>
        <v>Belo Horizonte</v>
      </c>
      <c r="B45" s="588" t="str">
        <f>'BANCO DADOS-CUSTO TOTAL'!H48</f>
        <v>BELTRANO 12372</v>
      </c>
      <c r="C45" s="588" t="str">
        <f>'BANCO DADOS-CUSTO TOTAL'!I48</f>
        <v>VIGILANTE ARMADO - 12X36 NOTURNO</v>
      </c>
      <c r="D45" s="172"/>
      <c r="E45" s="172"/>
      <c r="F45" s="167">
        <v>42370</v>
      </c>
      <c r="G45" s="167">
        <v>42399</v>
      </c>
      <c r="H45" s="168">
        <f t="shared" si="16"/>
        <v>2229.92</v>
      </c>
      <c r="I45" s="169">
        <f>'BANCO DADOS-CUSTO TOTAL'!Y48</f>
        <v>2717.9</v>
      </c>
      <c r="J45" s="170">
        <f t="shared" si="17"/>
        <v>30</v>
      </c>
      <c r="K45" s="170">
        <f t="shared" si="18"/>
        <v>1</v>
      </c>
      <c r="L45" s="170">
        <f t="shared" si="19"/>
        <v>0</v>
      </c>
      <c r="M45" s="171">
        <f t="shared" si="20"/>
        <v>185.75233600000001</v>
      </c>
      <c r="N45" s="171">
        <f t="shared" si="21"/>
        <v>226.40107</v>
      </c>
      <c r="O45" s="171">
        <f t="shared" si="22"/>
        <v>40.64873399999999</v>
      </c>
      <c r="P45" s="167">
        <f t="shared" si="23"/>
        <v>42370</v>
      </c>
      <c r="Q45" s="167">
        <f t="shared" si="24"/>
        <v>42399</v>
      </c>
      <c r="R45" s="168">
        <f t="shared" si="25"/>
        <v>2229.92</v>
      </c>
      <c r="S45" s="169">
        <f t="shared" si="26"/>
        <v>2717.9</v>
      </c>
      <c r="T45" s="170">
        <f t="shared" si="27"/>
        <v>30</v>
      </c>
      <c r="U45" s="170">
        <f t="shared" si="28"/>
        <v>1</v>
      </c>
      <c r="V45" s="170">
        <f t="shared" si="29"/>
        <v>0</v>
      </c>
      <c r="W45" s="171">
        <f t="shared" si="30"/>
        <v>247.74411200000003</v>
      </c>
      <c r="X45" s="171">
        <f t="shared" si="31"/>
        <v>301.95869000000005</v>
      </c>
      <c r="Y45" s="171">
        <f t="shared" si="32"/>
        <v>54.214578000000017</v>
      </c>
      <c r="Z45" s="167">
        <f t="shared" si="33"/>
        <v>42370</v>
      </c>
      <c r="AA45" s="167">
        <f t="shared" si="34"/>
        <v>42399</v>
      </c>
      <c r="AB45" s="168">
        <f t="shared" si="35"/>
        <v>2229.92</v>
      </c>
      <c r="AC45" s="169">
        <f t="shared" si="36"/>
        <v>2717.9</v>
      </c>
      <c r="AD45" s="170">
        <f t="shared" si="37"/>
        <v>30</v>
      </c>
      <c r="AE45" s="170">
        <f t="shared" si="38"/>
        <v>1</v>
      </c>
      <c r="AF45" s="170">
        <f t="shared" si="39"/>
        <v>0</v>
      </c>
      <c r="AG45" s="171">
        <f t="shared" si="40"/>
        <v>95.886559999999989</v>
      </c>
      <c r="AH45" s="171">
        <f t="shared" si="41"/>
        <v>116.86969999999999</v>
      </c>
      <c r="AI45" s="171">
        <f t="shared" si="42"/>
        <v>20.983140000000006</v>
      </c>
      <c r="AJ45" s="167">
        <f t="shared" si="43"/>
        <v>42370</v>
      </c>
      <c r="AK45" s="167">
        <f t="shared" si="44"/>
        <v>42399</v>
      </c>
      <c r="AL45" s="168">
        <f t="shared" si="45"/>
        <v>2229.92</v>
      </c>
      <c r="AM45" s="169">
        <f t="shared" si="46"/>
        <v>2717.9</v>
      </c>
      <c r="AN45" s="170">
        <f t="shared" si="47"/>
        <v>30</v>
      </c>
      <c r="AO45" s="170">
        <f t="shared" si="48"/>
        <v>1</v>
      </c>
      <c r="AP45" s="170">
        <f t="shared" si="49"/>
        <v>0</v>
      </c>
      <c r="AQ45" s="171">
        <f t="shared" si="50"/>
        <v>68.356859647999997</v>
      </c>
      <c r="AR45" s="171">
        <f t="shared" si="51"/>
        <v>83.315593759999999</v>
      </c>
      <c r="AS45" s="171">
        <f t="shared" si="52"/>
        <v>14.958734112000002</v>
      </c>
      <c r="AT45" s="167">
        <f t="shared" si="53"/>
        <v>42370</v>
      </c>
      <c r="AU45" s="167">
        <f t="shared" si="54"/>
        <v>42399</v>
      </c>
      <c r="AV45" s="168">
        <f t="shared" si="55"/>
        <v>2229.92</v>
      </c>
      <c r="AW45" s="169">
        <f t="shared" si="56"/>
        <v>2717.9</v>
      </c>
      <c r="AX45" s="170">
        <f t="shared" si="57"/>
        <v>30</v>
      </c>
      <c r="AY45" s="170">
        <f t="shared" si="58"/>
        <v>1</v>
      </c>
      <c r="AZ45" s="170">
        <f t="shared" si="59"/>
        <v>0</v>
      </c>
      <c r="BA45" s="171">
        <f t="shared" si="60"/>
        <v>91.169833216000001</v>
      </c>
      <c r="BB45" s="171">
        <f t="shared" si="61"/>
        <v>111.12079792</v>
      </c>
      <c r="BC45" s="171">
        <f t="shared" si="62"/>
        <v>19.950964704</v>
      </c>
      <c r="BD45" s="171">
        <f t="shared" si="63"/>
        <v>150.756150816</v>
      </c>
    </row>
    <row r="46" spans="1:56">
      <c r="A46" s="587" t="str">
        <f>'BANCO DADOS-CUSTO TOTAL'!C49</f>
        <v>Belo Horizonte</v>
      </c>
      <c r="B46" s="588" t="str">
        <f>'BANCO DADOS-CUSTO TOTAL'!H49</f>
        <v>BELTRANO 124280.</v>
      </c>
      <c r="C46" s="588" t="str">
        <f>'BANCO DADOS-CUSTO TOTAL'!I49</f>
        <v>VIGILANTE ARMADO - 12X36 DIURNO</v>
      </c>
      <c r="D46" s="172"/>
      <c r="E46" s="172"/>
      <c r="F46" s="167"/>
      <c r="G46" s="167"/>
      <c r="H46" s="168"/>
      <c r="I46" s="169"/>
      <c r="J46" s="170">
        <f t="shared" si="17"/>
        <v>0</v>
      </c>
      <c r="K46" s="170">
        <f t="shared" si="18"/>
        <v>0</v>
      </c>
      <c r="L46" s="170">
        <f t="shared" si="19"/>
        <v>0</v>
      </c>
      <c r="M46" s="171">
        <f t="shared" si="20"/>
        <v>0</v>
      </c>
      <c r="N46" s="171">
        <f t="shared" si="21"/>
        <v>0</v>
      </c>
      <c r="O46" s="171">
        <f t="shared" si="22"/>
        <v>0</v>
      </c>
      <c r="P46" s="167">
        <f t="shared" si="23"/>
        <v>0</v>
      </c>
      <c r="Q46" s="167">
        <f t="shared" si="24"/>
        <v>0</v>
      </c>
      <c r="R46" s="168">
        <f t="shared" si="25"/>
        <v>0</v>
      </c>
      <c r="S46" s="169">
        <f t="shared" si="26"/>
        <v>0</v>
      </c>
      <c r="T46" s="170">
        <f t="shared" si="27"/>
        <v>1</v>
      </c>
      <c r="U46" s="170">
        <f t="shared" si="28"/>
        <v>0</v>
      </c>
      <c r="V46" s="170">
        <f t="shared" si="29"/>
        <v>1</v>
      </c>
      <c r="W46" s="171">
        <f t="shared" si="30"/>
        <v>0</v>
      </c>
      <c r="X46" s="171">
        <f t="shared" si="31"/>
        <v>0</v>
      </c>
      <c r="Y46" s="171">
        <f t="shared" si="32"/>
        <v>0</v>
      </c>
      <c r="Z46" s="167">
        <f t="shared" si="33"/>
        <v>0</v>
      </c>
      <c r="AA46" s="167">
        <f t="shared" si="34"/>
        <v>0</v>
      </c>
      <c r="AB46" s="168">
        <f t="shared" si="35"/>
        <v>0</v>
      </c>
      <c r="AC46" s="169">
        <f t="shared" si="36"/>
        <v>0</v>
      </c>
      <c r="AD46" s="170">
        <f t="shared" si="37"/>
        <v>1</v>
      </c>
      <c r="AE46" s="170">
        <f t="shared" si="38"/>
        <v>0</v>
      </c>
      <c r="AF46" s="170">
        <f t="shared" si="39"/>
        <v>1</v>
      </c>
      <c r="AG46" s="171">
        <f t="shared" si="40"/>
        <v>0</v>
      </c>
      <c r="AH46" s="171">
        <f t="shared" si="41"/>
        <v>0</v>
      </c>
      <c r="AI46" s="171">
        <f t="shared" si="42"/>
        <v>0</v>
      </c>
      <c r="AJ46" s="167">
        <f t="shared" si="43"/>
        <v>0</v>
      </c>
      <c r="AK46" s="167">
        <f t="shared" si="44"/>
        <v>0</v>
      </c>
      <c r="AL46" s="168">
        <f t="shared" si="45"/>
        <v>0</v>
      </c>
      <c r="AM46" s="169">
        <f t="shared" si="46"/>
        <v>0</v>
      </c>
      <c r="AN46" s="170">
        <f t="shared" si="47"/>
        <v>1</v>
      </c>
      <c r="AO46" s="170">
        <f t="shared" si="48"/>
        <v>0</v>
      </c>
      <c r="AP46" s="170">
        <f t="shared" si="49"/>
        <v>1</v>
      </c>
      <c r="AQ46" s="171">
        <f t="shared" si="50"/>
        <v>0</v>
      </c>
      <c r="AR46" s="171">
        <f t="shared" si="51"/>
        <v>0</v>
      </c>
      <c r="AS46" s="171">
        <f t="shared" si="52"/>
        <v>0</v>
      </c>
      <c r="AT46" s="167">
        <f t="shared" si="53"/>
        <v>0</v>
      </c>
      <c r="AU46" s="167">
        <f t="shared" si="54"/>
        <v>0</v>
      </c>
      <c r="AV46" s="168">
        <f t="shared" si="55"/>
        <v>0</v>
      </c>
      <c r="AW46" s="169">
        <f t="shared" si="56"/>
        <v>0</v>
      </c>
      <c r="AX46" s="170">
        <f t="shared" si="57"/>
        <v>1</v>
      </c>
      <c r="AY46" s="170">
        <f t="shared" si="58"/>
        <v>0</v>
      </c>
      <c r="AZ46" s="170">
        <f t="shared" si="59"/>
        <v>1</v>
      </c>
      <c r="BA46" s="171">
        <f t="shared" si="60"/>
        <v>0</v>
      </c>
      <c r="BB46" s="171">
        <f t="shared" si="61"/>
        <v>0</v>
      </c>
      <c r="BC46" s="171">
        <f t="shared" si="62"/>
        <v>0</v>
      </c>
      <c r="BD46" s="171">
        <f t="shared" si="63"/>
        <v>0</v>
      </c>
    </row>
    <row r="47" spans="1:56">
      <c r="A47" s="587" t="str">
        <f>'BANCO DADOS-CUSTO TOTAL'!C50</f>
        <v>Belo Horizonte</v>
      </c>
      <c r="B47" s="588" t="str">
        <f>'BANCO DADOS-CUSTO TOTAL'!H50</f>
        <v>BELTRANO 12373</v>
      </c>
      <c r="C47" s="588" t="str">
        <f>'BANCO DADOS-CUSTO TOTAL'!I50</f>
        <v>VIGILANTE ARMADO - 12X36 NOTURNO</v>
      </c>
      <c r="D47" s="172"/>
      <c r="E47" s="172"/>
      <c r="F47" s="167">
        <v>42370</v>
      </c>
      <c r="G47" s="167">
        <v>42399</v>
      </c>
      <c r="H47" s="168">
        <f t="shared" si="16"/>
        <v>2229.92</v>
      </c>
      <c r="I47" s="169">
        <f>'BANCO DADOS-CUSTO TOTAL'!Y50</f>
        <v>2717.9</v>
      </c>
      <c r="J47" s="170">
        <f t="shared" si="17"/>
        <v>30</v>
      </c>
      <c r="K47" s="170">
        <f t="shared" si="18"/>
        <v>1</v>
      </c>
      <c r="L47" s="170">
        <f t="shared" si="19"/>
        <v>0</v>
      </c>
      <c r="M47" s="171">
        <f t="shared" si="20"/>
        <v>185.75233600000001</v>
      </c>
      <c r="N47" s="171">
        <f t="shared" si="21"/>
        <v>226.40107</v>
      </c>
      <c r="O47" s="171">
        <f t="shared" si="22"/>
        <v>40.64873399999999</v>
      </c>
      <c r="P47" s="167">
        <f t="shared" si="23"/>
        <v>42370</v>
      </c>
      <c r="Q47" s="167">
        <f t="shared" si="24"/>
        <v>42399</v>
      </c>
      <c r="R47" s="168">
        <f t="shared" si="25"/>
        <v>2229.92</v>
      </c>
      <c r="S47" s="169">
        <f t="shared" si="26"/>
        <v>2717.9</v>
      </c>
      <c r="T47" s="170">
        <f t="shared" si="27"/>
        <v>30</v>
      </c>
      <c r="U47" s="170">
        <f t="shared" si="28"/>
        <v>1</v>
      </c>
      <c r="V47" s="170">
        <f t="shared" si="29"/>
        <v>0</v>
      </c>
      <c r="W47" s="171">
        <f t="shared" si="30"/>
        <v>247.74411200000003</v>
      </c>
      <c r="X47" s="171">
        <f t="shared" si="31"/>
        <v>301.95869000000005</v>
      </c>
      <c r="Y47" s="171">
        <f t="shared" si="32"/>
        <v>54.214578000000017</v>
      </c>
      <c r="Z47" s="167">
        <f t="shared" si="33"/>
        <v>42370</v>
      </c>
      <c r="AA47" s="167">
        <f t="shared" si="34"/>
        <v>42399</v>
      </c>
      <c r="AB47" s="168">
        <f t="shared" si="35"/>
        <v>2229.92</v>
      </c>
      <c r="AC47" s="169">
        <f t="shared" si="36"/>
        <v>2717.9</v>
      </c>
      <c r="AD47" s="170">
        <f t="shared" si="37"/>
        <v>30</v>
      </c>
      <c r="AE47" s="170">
        <f t="shared" si="38"/>
        <v>1</v>
      </c>
      <c r="AF47" s="170">
        <f t="shared" si="39"/>
        <v>0</v>
      </c>
      <c r="AG47" s="171">
        <f t="shared" si="40"/>
        <v>95.886559999999989</v>
      </c>
      <c r="AH47" s="171">
        <f t="shared" si="41"/>
        <v>116.86969999999999</v>
      </c>
      <c r="AI47" s="171">
        <f t="shared" si="42"/>
        <v>20.983140000000006</v>
      </c>
      <c r="AJ47" s="167">
        <f t="shared" si="43"/>
        <v>42370</v>
      </c>
      <c r="AK47" s="167">
        <f t="shared" si="44"/>
        <v>42399</v>
      </c>
      <c r="AL47" s="168">
        <f t="shared" si="45"/>
        <v>2229.92</v>
      </c>
      <c r="AM47" s="169">
        <f t="shared" si="46"/>
        <v>2717.9</v>
      </c>
      <c r="AN47" s="170">
        <f t="shared" si="47"/>
        <v>30</v>
      </c>
      <c r="AO47" s="170">
        <f t="shared" si="48"/>
        <v>1</v>
      </c>
      <c r="AP47" s="170">
        <f t="shared" si="49"/>
        <v>0</v>
      </c>
      <c r="AQ47" s="171">
        <f t="shared" si="50"/>
        <v>68.356859647999997</v>
      </c>
      <c r="AR47" s="171">
        <f t="shared" si="51"/>
        <v>83.315593759999999</v>
      </c>
      <c r="AS47" s="171">
        <f t="shared" si="52"/>
        <v>14.958734112000002</v>
      </c>
      <c r="AT47" s="167">
        <f t="shared" si="53"/>
        <v>42370</v>
      </c>
      <c r="AU47" s="167">
        <f t="shared" si="54"/>
        <v>42399</v>
      </c>
      <c r="AV47" s="168">
        <f t="shared" si="55"/>
        <v>2229.92</v>
      </c>
      <c r="AW47" s="169">
        <f t="shared" si="56"/>
        <v>2717.9</v>
      </c>
      <c r="AX47" s="170">
        <f t="shared" si="57"/>
        <v>30</v>
      </c>
      <c r="AY47" s="170">
        <f t="shared" si="58"/>
        <v>1</v>
      </c>
      <c r="AZ47" s="170">
        <f t="shared" si="59"/>
        <v>0</v>
      </c>
      <c r="BA47" s="171">
        <f t="shared" si="60"/>
        <v>91.169833216000001</v>
      </c>
      <c r="BB47" s="171">
        <f t="shared" si="61"/>
        <v>111.12079792</v>
      </c>
      <c r="BC47" s="171">
        <f t="shared" si="62"/>
        <v>19.950964704</v>
      </c>
      <c r="BD47" s="171">
        <f t="shared" si="63"/>
        <v>150.756150816</v>
      </c>
    </row>
    <row r="48" spans="1:56">
      <c r="A48" s="587" t="str">
        <f>'BANCO DADOS-CUSTO TOTAL'!C51</f>
        <v>Belo Horizonte</v>
      </c>
      <c r="B48" s="588" t="str">
        <f>'BANCO DADOS-CUSTO TOTAL'!H51</f>
        <v>BELTRANO 12374</v>
      </c>
      <c r="C48" s="588" t="str">
        <f>'BANCO DADOS-CUSTO TOTAL'!I51</f>
        <v>VIGILANTE ARMADO - 12X36 NOTURNO</v>
      </c>
      <c r="D48" s="172"/>
      <c r="E48" s="172"/>
      <c r="F48" s="167">
        <v>42370</v>
      </c>
      <c r="G48" s="167">
        <v>42399</v>
      </c>
      <c r="H48" s="168">
        <f t="shared" si="16"/>
        <v>2229.92</v>
      </c>
      <c r="I48" s="169">
        <f>'BANCO DADOS-CUSTO TOTAL'!Y51</f>
        <v>2717.9</v>
      </c>
      <c r="J48" s="170">
        <f t="shared" si="17"/>
        <v>30</v>
      </c>
      <c r="K48" s="170">
        <f t="shared" si="18"/>
        <v>1</v>
      </c>
      <c r="L48" s="170">
        <f t="shared" si="19"/>
        <v>0</v>
      </c>
      <c r="M48" s="171">
        <f t="shared" si="20"/>
        <v>185.75233600000001</v>
      </c>
      <c r="N48" s="171">
        <f t="shared" si="21"/>
        <v>226.40107</v>
      </c>
      <c r="O48" s="171">
        <f t="shared" si="22"/>
        <v>40.64873399999999</v>
      </c>
      <c r="P48" s="167">
        <f t="shared" si="23"/>
        <v>42370</v>
      </c>
      <c r="Q48" s="167">
        <f t="shared" si="24"/>
        <v>42399</v>
      </c>
      <c r="R48" s="168">
        <f t="shared" si="25"/>
        <v>2229.92</v>
      </c>
      <c r="S48" s="169">
        <f t="shared" si="26"/>
        <v>2717.9</v>
      </c>
      <c r="T48" s="170">
        <f t="shared" si="27"/>
        <v>30</v>
      </c>
      <c r="U48" s="170">
        <f t="shared" si="28"/>
        <v>1</v>
      </c>
      <c r="V48" s="170">
        <f t="shared" si="29"/>
        <v>0</v>
      </c>
      <c r="W48" s="171">
        <f t="shared" si="30"/>
        <v>247.74411200000003</v>
      </c>
      <c r="X48" s="171">
        <f t="shared" si="31"/>
        <v>301.95869000000005</v>
      </c>
      <c r="Y48" s="171">
        <f t="shared" si="32"/>
        <v>54.214578000000017</v>
      </c>
      <c r="Z48" s="167">
        <f t="shared" si="33"/>
        <v>42370</v>
      </c>
      <c r="AA48" s="167">
        <f t="shared" si="34"/>
        <v>42399</v>
      </c>
      <c r="AB48" s="168">
        <f t="shared" si="35"/>
        <v>2229.92</v>
      </c>
      <c r="AC48" s="169">
        <f t="shared" si="36"/>
        <v>2717.9</v>
      </c>
      <c r="AD48" s="170">
        <f t="shared" si="37"/>
        <v>30</v>
      </c>
      <c r="AE48" s="170">
        <f t="shared" si="38"/>
        <v>1</v>
      </c>
      <c r="AF48" s="170">
        <f t="shared" si="39"/>
        <v>0</v>
      </c>
      <c r="AG48" s="171">
        <f t="shared" si="40"/>
        <v>95.886559999999989</v>
      </c>
      <c r="AH48" s="171">
        <f t="shared" si="41"/>
        <v>116.86969999999999</v>
      </c>
      <c r="AI48" s="171">
        <f t="shared" si="42"/>
        <v>20.983140000000006</v>
      </c>
      <c r="AJ48" s="167">
        <f t="shared" si="43"/>
        <v>42370</v>
      </c>
      <c r="AK48" s="167">
        <f t="shared" si="44"/>
        <v>42399</v>
      </c>
      <c r="AL48" s="168">
        <f t="shared" si="45"/>
        <v>2229.92</v>
      </c>
      <c r="AM48" s="169">
        <f t="shared" si="46"/>
        <v>2717.9</v>
      </c>
      <c r="AN48" s="170">
        <f t="shared" si="47"/>
        <v>30</v>
      </c>
      <c r="AO48" s="170">
        <f t="shared" si="48"/>
        <v>1</v>
      </c>
      <c r="AP48" s="170">
        <f t="shared" si="49"/>
        <v>0</v>
      </c>
      <c r="AQ48" s="171">
        <f t="shared" si="50"/>
        <v>68.356859647999997</v>
      </c>
      <c r="AR48" s="171">
        <f t="shared" si="51"/>
        <v>83.315593759999999</v>
      </c>
      <c r="AS48" s="171">
        <f t="shared" si="52"/>
        <v>14.958734112000002</v>
      </c>
      <c r="AT48" s="167">
        <f t="shared" si="53"/>
        <v>42370</v>
      </c>
      <c r="AU48" s="167">
        <f t="shared" si="54"/>
        <v>42399</v>
      </c>
      <c r="AV48" s="168">
        <f t="shared" si="55"/>
        <v>2229.92</v>
      </c>
      <c r="AW48" s="169">
        <f t="shared" si="56"/>
        <v>2717.9</v>
      </c>
      <c r="AX48" s="170">
        <f t="shared" si="57"/>
        <v>30</v>
      </c>
      <c r="AY48" s="170">
        <f t="shared" si="58"/>
        <v>1</v>
      </c>
      <c r="AZ48" s="170">
        <f t="shared" si="59"/>
        <v>0</v>
      </c>
      <c r="BA48" s="171">
        <f t="shared" si="60"/>
        <v>91.169833216000001</v>
      </c>
      <c r="BB48" s="171">
        <f t="shared" si="61"/>
        <v>111.12079792</v>
      </c>
      <c r="BC48" s="171">
        <f t="shared" si="62"/>
        <v>19.950964704</v>
      </c>
      <c r="BD48" s="171">
        <f t="shared" si="63"/>
        <v>150.756150816</v>
      </c>
    </row>
    <row r="49" spans="1:56">
      <c r="A49" s="587" t="str">
        <f>'BANCO DADOS-CUSTO TOTAL'!C52</f>
        <v>Belo Horizonte</v>
      </c>
      <c r="B49" s="588" t="str">
        <f>'BANCO DADOS-CUSTO TOTAL'!H52</f>
        <v>BELTRANO 12375</v>
      </c>
      <c r="C49" s="588" t="str">
        <f>'BANCO DADOS-CUSTO TOTAL'!I52</f>
        <v>VIGILANTE ARMADO - 12X36 NOTURNO</v>
      </c>
      <c r="D49" s="172"/>
      <c r="E49" s="172"/>
      <c r="F49" s="167">
        <v>42370</v>
      </c>
      <c r="G49" s="167">
        <v>42399</v>
      </c>
      <c r="H49" s="168">
        <f t="shared" si="16"/>
        <v>2229.92</v>
      </c>
      <c r="I49" s="169">
        <f>'BANCO DADOS-CUSTO TOTAL'!Y52</f>
        <v>2717.9</v>
      </c>
      <c r="J49" s="170">
        <f t="shared" si="17"/>
        <v>30</v>
      </c>
      <c r="K49" s="170">
        <f t="shared" si="18"/>
        <v>1</v>
      </c>
      <c r="L49" s="170">
        <f t="shared" si="19"/>
        <v>0</v>
      </c>
      <c r="M49" s="171">
        <f t="shared" si="20"/>
        <v>185.75233600000001</v>
      </c>
      <c r="N49" s="171">
        <f t="shared" si="21"/>
        <v>226.40107</v>
      </c>
      <c r="O49" s="171">
        <f t="shared" si="22"/>
        <v>40.64873399999999</v>
      </c>
      <c r="P49" s="167">
        <f t="shared" si="23"/>
        <v>42370</v>
      </c>
      <c r="Q49" s="167">
        <f t="shared" si="24"/>
        <v>42399</v>
      </c>
      <c r="R49" s="168">
        <f t="shared" si="25"/>
        <v>2229.92</v>
      </c>
      <c r="S49" s="169">
        <f t="shared" si="26"/>
        <v>2717.9</v>
      </c>
      <c r="T49" s="170">
        <f t="shared" si="27"/>
        <v>30</v>
      </c>
      <c r="U49" s="170">
        <f t="shared" si="28"/>
        <v>1</v>
      </c>
      <c r="V49" s="170">
        <f t="shared" si="29"/>
        <v>0</v>
      </c>
      <c r="W49" s="171">
        <f t="shared" si="30"/>
        <v>247.74411200000003</v>
      </c>
      <c r="X49" s="171">
        <f t="shared" si="31"/>
        <v>301.95869000000005</v>
      </c>
      <c r="Y49" s="171">
        <f t="shared" si="32"/>
        <v>54.214578000000017</v>
      </c>
      <c r="Z49" s="167">
        <f t="shared" si="33"/>
        <v>42370</v>
      </c>
      <c r="AA49" s="167">
        <f t="shared" si="34"/>
        <v>42399</v>
      </c>
      <c r="AB49" s="168">
        <f t="shared" si="35"/>
        <v>2229.92</v>
      </c>
      <c r="AC49" s="169">
        <f t="shared" si="36"/>
        <v>2717.9</v>
      </c>
      <c r="AD49" s="170">
        <f t="shared" si="37"/>
        <v>30</v>
      </c>
      <c r="AE49" s="170">
        <f t="shared" si="38"/>
        <v>1</v>
      </c>
      <c r="AF49" s="170">
        <f t="shared" si="39"/>
        <v>0</v>
      </c>
      <c r="AG49" s="171">
        <f t="shared" si="40"/>
        <v>95.886559999999989</v>
      </c>
      <c r="AH49" s="171">
        <f t="shared" si="41"/>
        <v>116.86969999999999</v>
      </c>
      <c r="AI49" s="171">
        <f t="shared" si="42"/>
        <v>20.983140000000006</v>
      </c>
      <c r="AJ49" s="167">
        <f t="shared" si="43"/>
        <v>42370</v>
      </c>
      <c r="AK49" s="167">
        <f t="shared" si="44"/>
        <v>42399</v>
      </c>
      <c r="AL49" s="168">
        <f t="shared" si="45"/>
        <v>2229.92</v>
      </c>
      <c r="AM49" s="169">
        <f t="shared" si="46"/>
        <v>2717.9</v>
      </c>
      <c r="AN49" s="170">
        <f t="shared" si="47"/>
        <v>30</v>
      </c>
      <c r="AO49" s="170">
        <f t="shared" si="48"/>
        <v>1</v>
      </c>
      <c r="AP49" s="170">
        <f t="shared" si="49"/>
        <v>0</v>
      </c>
      <c r="AQ49" s="171">
        <f t="shared" si="50"/>
        <v>68.356859647999997</v>
      </c>
      <c r="AR49" s="171">
        <f t="shared" si="51"/>
        <v>83.315593759999999</v>
      </c>
      <c r="AS49" s="171">
        <f t="shared" si="52"/>
        <v>14.958734112000002</v>
      </c>
      <c r="AT49" s="167">
        <f t="shared" si="53"/>
        <v>42370</v>
      </c>
      <c r="AU49" s="167">
        <f t="shared" si="54"/>
        <v>42399</v>
      </c>
      <c r="AV49" s="168">
        <f t="shared" si="55"/>
        <v>2229.92</v>
      </c>
      <c r="AW49" s="169">
        <f t="shared" si="56"/>
        <v>2717.9</v>
      </c>
      <c r="AX49" s="170">
        <f t="shared" si="57"/>
        <v>30</v>
      </c>
      <c r="AY49" s="170">
        <f t="shared" si="58"/>
        <v>1</v>
      </c>
      <c r="AZ49" s="170">
        <f t="shared" si="59"/>
        <v>0</v>
      </c>
      <c r="BA49" s="171">
        <f t="shared" si="60"/>
        <v>91.169833216000001</v>
      </c>
      <c r="BB49" s="171">
        <f t="shared" si="61"/>
        <v>111.12079792</v>
      </c>
      <c r="BC49" s="171">
        <f t="shared" si="62"/>
        <v>19.950964704</v>
      </c>
      <c r="BD49" s="171">
        <f t="shared" si="63"/>
        <v>150.756150816</v>
      </c>
    </row>
    <row r="50" spans="1:56">
      <c r="A50" s="587" t="str">
        <f>'BANCO DADOS-CUSTO TOTAL'!C53</f>
        <v>Belo Horizonte</v>
      </c>
      <c r="B50" s="588" t="str">
        <f>'BANCO DADOS-CUSTO TOTAL'!H53</f>
        <v>BELTRANO 12376</v>
      </c>
      <c r="C50" s="588" t="str">
        <f>'BANCO DADOS-CUSTO TOTAL'!I53</f>
        <v>VIGILANTE ARMADO - 12X36 NOTURNO</v>
      </c>
      <c r="D50" s="172"/>
      <c r="E50" s="172"/>
      <c r="F50" s="167">
        <v>42370</v>
      </c>
      <c r="G50" s="167">
        <v>42399</v>
      </c>
      <c r="H50" s="168">
        <f t="shared" si="16"/>
        <v>2229.92</v>
      </c>
      <c r="I50" s="169">
        <f>'BANCO DADOS-CUSTO TOTAL'!Y53</f>
        <v>2717.9</v>
      </c>
      <c r="J50" s="170">
        <f t="shared" si="17"/>
        <v>30</v>
      </c>
      <c r="K50" s="170">
        <f t="shared" si="18"/>
        <v>1</v>
      </c>
      <c r="L50" s="170">
        <f t="shared" si="19"/>
        <v>0</v>
      </c>
      <c r="M50" s="171">
        <f t="shared" si="20"/>
        <v>185.75233600000001</v>
      </c>
      <c r="N50" s="171">
        <f t="shared" si="21"/>
        <v>226.40107</v>
      </c>
      <c r="O50" s="171">
        <f t="shared" si="22"/>
        <v>40.64873399999999</v>
      </c>
      <c r="P50" s="167">
        <f t="shared" si="23"/>
        <v>42370</v>
      </c>
      <c r="Q50" s="167">
        <f t="shared" si="24"/>
        <v>42399</v>
      </c>
      <c r="R50" s="168">
        <f t="shared" si="25"/>
        <v>2229.92</v>
      </c>
      <c r="S50" s="169">
        <f t="shared" si="26"/>
        <v>2717.9</v>
      </c>
      <c r="T50" s="170">
        <f t="shared" si="27"/>
        <v>30</v>
      </c>
      <c r="U50" s="170">
        <f t="shared" si="28"/>
        <v>1</v>
      </c>
      <c r="V50" s="170">
        <f t="shared" si="29"/>
        <v>0</v>
      </c>
      <c r="W50" s="171">
        <f t="shared" si="30"/>
        <v>247.74411200000003</v>
      </c>
      <c r="X50" s="171">
        <f t="shared" si="31"/>
        <v>301.95869000000005</v>
      </c>
      <c r="Y50" s="171">
        <f t="shared" si="32"/>
        <v>54.214578000000017</v>
      </c>
      <c r="Z50" s="167">
        <f t="shared" si="33"/>
        <v>42370</v>
      </c>
      <c r="AA50" s="167">
        <f t="shared" si="34"/>
        <v>42399</v>
      </c>
      <c r="AB50" s="168">
        <f t="shared" si="35"/>
        <v>2229.92</v>
      </c>
      <c r="AC50" s="169">
        <f t="shared" si="36"/>
        <v>2717.9</v>
      </c>
      <c r="AD50" s="170">
        <f t="shared" si="37"/>
        <v>30</v>
      </c>
      <c r="AE50" s="170">
        <f t="shared" si="38"/>
        <v>1</v>
      </c>
      <c r="AF50" s="170">
        <f t="shared" si="39"/>
        <v>0</v>
      </c>
      <c r="AG50" s="171">
        <f t="shared" si="40"/>
        <v>95.886559999999989</v>
      </c>
      <c r="AH50" s="171">
        <f t="shared" si="41"/>
        <v>116.86969999999999</v>
      </c>
      <c r="AI50" s="171">
        <f t="shared" si="42"/>
        <v>20.983140000000006</v>
      </c>
      <c r="AJ50" s="167">
        <f t="shared" si="43"/>
        <v>42370</v>
      </c>
      <c r="AK50" s="167">
        <f t="shared" si="44"/>
        <v>42399</v>
      </c>
      <c r="AL50" s="168">
        <f t="shared" si="45"/>
        <v>2229.92</v>
      </c>
      <c r="AM50" s="169">
        <f t="shared" si="46"/>
        <v>2717.9</v>
      </c>
      <c r="AN50" s="170">
        <f t="shared" si="47"/>
        <v>30</v>
      </c>
      <c r="AO50" s="170">
        <f t="shared" si="48"/>
        <v>1</v>
      </c>
      <c r="AP50" s="170">
        <f t="shared" si="49"/>
        <v>0</v>
      </c>
      <c r="AQ50" s="171">
        <f t="shared" si="50"/>
        <v>68.356859647999997</v>
      </c>
      <c r="AR50" s="171">
        <f t="shared" si="51"/>
        <v>83.315593759999999</v>
      </c>
      <c r="AS50" s="171">
        <f t="shared" si="52"/>
        <v>14.958734112000002</v>
      </c>
      <c r="AT50" s="167">
        <f t="shared" si="53"/>
        <v>42370</v>
      </c>
      <c r="AU50" s="167">
        <f t="shared" si="54"/>
        <v>42399</v>
      </c>
      <c r="AV50" s="168">
        <f t="shared" si="55"/>
        <v>2229.92</v>
      </c>
      <c r="AW50" s="169">
        <f t="shared" si="56"/>
        <v>2717.9</v>
      </c>
      <c r="AX50" s="170">
        <f t="shared" si="57"/>
        <v>30</v>
      </c>
      <c r="AY50" s="170">
        <f t="shared" si="58"/>
        <v>1</v>
      </c>
      <c r="AZ50" s="170">
        <f t="shared" si="59"/>
        <v>0</v>
      </c>
      <c r="BA50" s="171">
        <f t="shared" si="60"/>
        <v>91.169833216000001</v>
      </c>
      <c r="BB50" s="171">
        <f t="shared" si="61"/>
        <v>111.12079792</v>
      </c>
      <c r="BC50" s="171">
        <f t="shared" si="62"/>
        <v>19.950964704</v>
      </c>
      <c r="BD50" s="171">
        <f t="shared" si="63"/>
        <v>150.756150816</v>
      </c>
    </row>
    <row r="51" spans="1:56">
      <c r="A51" s="587" t="str">
        <f>'BANCO DADOS-CUSTO TOTAL'!C54</f>
        <v>Belo Horizonte</v>
      </c>
      <c r="B51" s="588" t="str">
        <f>'BANCO DADOS-CUSTO TOTAL'!H54</f>
        <v>BELTRANO 12377</v>
      </c>
      <c r="C51" s="588" t="str">
        <f>'BANCO DADOS-CUSTO TOTAL'!I54</f>
        <v>VIGILANTE ARMADO - 12X36 NOTURNO</v>
      </c>
      <c r="D51" s="172"/>
      <c r="E51" s="172"/>
      <c r="F51" s="167">
        <v>42370</v>
      </c>
      <c r="G51" s="167">
        <v>42399</v>
      </c>
      <c r="H51" s="168">
        <f t="shared" si="16"/>
        <v>2229.92</v>
      </c>
      <c r="I51" s="169">
        <f>'BANCO DADOS-CUSTO TOTAL'!Y54</f>
        <v>2717.9</v>
      </c>
      <c r="J51" s="170">
        <f t="shared" si="17"/>
        <v>30</v>
      </c>
      <c r="K51" s="170">
        <f t="shared" si="18"/>
        <v>1</v>
      </c>
      <c r="L51" s="170">
        <f t="shared" si="19"/>
        <v>0</v>
      </c>
      <c r="M51" s="171">
        <f t="shared" si="20"/>
        <v>185.75233600000001</v>
      </c>
      <c r="N51" s="171">
        <f t="shared" si="21"/>
        <v>226.40107</v>
      </c>
      <c r="O51" s="171">
        <f t="shared" si="22"/>
        <v>40.64873399999999</v>
      </c>
      <c r="P51" s="167">
        <f t="shared" si="23"/>
        <v>42370</v>
      </c>
      <c r="Q51" s="167">
        <f t="shared" si="24"/>
        <v>42399</v>
      </c>
      <c r="R51" s="168">
        <f t="shared" si="25"/>
        <v>2229.92</v>
      </c>
      <c r="S51" s="169">
        <f t="shared" si="26"/>
        <v>2717.9</v>
      </c>
      <c r="T51" s="170">
        <f t="shared" si="27"/>
        <v>30</v>
      </c>
      <c r="U51" s="170">
        <f t="shared" si="28"/>
        <v>1</v>
      </c>
      <c r="V51" s="170">
        <f t="shared" si="29"/>
        <v>0</v>
      </c>
      <c r="W51" s="171">
        <f t="shared" si="30"/>
        <v>247.74411200000003</v>
      </c>
      <c r="X51" s="171">
        <f t="shared" si="31"/>
        <v>301.95869000000005</v>
      </c>
      <c r="Y51" s="171">
        <f t="shared" si="32"/>
        <v>54.214578000000017</v>
      </c>
      <c r="Z51" s="167">
        <f t="shared" si="33"/>
        <v>42370</v>
      </c>
      <c r="AA51" s="167">
        <f t="shared" si="34"/>
        <v>42399</v>
      </c>
      <c r="AB51" s="168">
        <f t="shared" si="35"/>
        <v>2229.92</v>
      </c>
      <c r="AC51" s="169">
        <f t="shared" si="36"/>
        <v>2717.9</v>
      </c>
      <c r="AD51" s="170">
        <f t="shared" si="37"/>
        <v>30</v>
      </c>
      <c r="AE51" s="170">
        <f t="shared" si="38"/>
        <v>1</v>
      </c>
      <c r="AF51" s="170">
        <f t="shared" si="39"/>
        <v>0</v>
      </c>
      <c r="AG51" s="171">
        <f t="shared" si="40"/>
        <v>95.886559999999989</v>
      </c>
      <c r="AH51" s="171">
        <f t="shared" si="41"/>
        <v>116.86969999999999</v>
      </c>
      <c r="AI51" s="171">
        <f t="shared" si="42"/>
        <v>20.983140000000006</v>
      </c>
      <c r="AJ51" s="167">
        <f t="shared" si="43"/>
        <v>42370</v>
      </c>
      <c r="AK51" s="167">
        <f t="shared" si="44"/>
        <v>42399</v>
      </c>
      <c r="AL51" s="168">
        <f t="shared" si="45"/>
        <v>2229.92</v>
      </c>
      <c r="AM51" s="169">
        <f t="shared" si="46"/>
        <v>2717.9</v>
      </c>
      <c r="AN51" s="170">
        <f t="shared" si="47"/>
        <v>30</v>
      </c>
      <c r="AO51" s="170">
        <f t="shared" si="48"/>
        <v>1</v>
      </c>
      <c r="AP51" s="170">
        <f t="shared" si="49"/>
        <v>0</v>
      </c>
      <c r="AQ51" s="171">
        <f t="shared" si="50"/>
        <v>68.356859647999997</v>
      </c>
      <c r="AR51" s="171">
        <f t="shared" si="51"/>
        <v>83.315593759999999</v>
      </c>
      <c r="AS51" s="171">
        <f t="shared" si="52"/>
        <v>14.958734112000002</v>
      </c>
      <c r="AT51" s="167">
        <f t="shared" si="53"/>
        <v>42370</v>
      </c>
      <c r="AU51" s="167">
        <f t="shared" si="54"/>
        <v>42399</v>
      </c>
      <c r="AV51" s="168">
        <f t="shared" si="55"/>
        <v>2229.92</v>
      </c>
      <c r="AW51" s="169">
        <f t="shared" si="56"/>
        <v>2717.9</v>
      </c>
      <c r="AX51" s="170">
        <f t="shared" si="57"/>
        <v>30</v>
      </c>
      <c r="AY51" s="170">
        <f t="shared" si="58"/>
        <v>1</v>
      </c>
      <c r="AZ51" s="170">
        <f t="shared" si="59"/>
        <v>0</v>
      </c>
      <c r="BA51" s="171">
        <f t="shared" si="60"/>
        <v>91.169833216000001</v>
      </c>
      <c r="BB51" s="171">
        <f t="shared" si="61"/>
        <v>111.12079792</v>
      </c>
      <c r="BC51" s="171">
        <f t="shared" si="62"/>
        <v>19.950964704</v>
      </c>
      <c r="BD51" s="171">
        <f t="shared" si="63"/>
        <v>150.756150816</v>
      </c>
    </row>
    <row r="52" spans="1:56">
      <c r="A52" s="587" t="str">
        <f>'BANCO DADOS-CUSTO TOTAL'!C55</f>
        <v>Belo Horizonte</v>
      </c>
      <c r="B52" s="588" t="str">
        <f>'BANCO DADOS-CUSTO TOTAL'!H55</f>
        <v>BELTRANO 124256</v>
      </c>
      <c r="C52" s="588" t="str">
        <f>'BANCO DADOS-CUSTO TOTAL'!I55</f>
        <v>VIGILANTE ARMADO - 12X36 NOTURNO</v>
      </c>
      <c r="D52" s="172"/>
      <c r="E52" s="172"/>
      <c r="F52" s="167"/>
      <c r="G52" s="167"/>
      <c r="H52" s="168"/>
      <c r="I52" s="169"/>
      <c r="J52" s="170">
        <f t="shared" si="17"/>
        <v>0</v>
      </c>
      <c r="K52" s="170">
        <f t="shared" si="18"/>
        <v>0</v>
      </c>
      <c r="L52" s="170">
        <f t="shared" si="19"/>
        <v>0</v>
      </c>
      <c r="M52" s="171">
        <f t="shared" si="20"/>
        <v>0</v>
      </c>
      <c r="N52" s="171">
        <f t="shared" si="21"/>
        <v>0</v>
      </c>
      <c r="O52" s="171">
        <f t="shared" si="22"/>
        <v>0</v>
      </c>
      <c r="P52" s="167">
        <f t="shared" si="23"/>
        <v>0</v>
      </c>
      <c r="Q52" s="167">
        <f t="shared" si="24"/>
        <v>0</v>
      </c>
      <c r="R52" s="168">
        <f t="shared" si="25"/>
        <v>0</v>
      </c>
      <c r="S52" s="169">
        <f t="shared" si="26"/>
        <v>0</v>
      </c>
      <c r="T52" s="170">
        <f t="shared" si="27"/>
        <v>1</v>
      </c>
      <c r="U52" s="170">
        <f t="shared" si="28"/>
        <v>0</v>
      </c>
      <c r="V52" s="170">
        <f t="shared" si="29"/>
        <v>1</v>
      </c>
      <c r="W52" s="171">
        <f t="shared" si="30"/>
        <v>0</v>
      </c>
      <c r="X52" s="171">
        <f t="shared" si="31"/>
        <v>0</v>
      </c>
      <c r="Y52" s="171">
        <f t="shared" si="32"/>
        <v>0</v>
      </c>
      <c r="Z52" s="167">
        <f t="shared" si="33"/>
        <v>0</v>
      </c>
      <c r="AA52" s="167">
        <f t="shared" si="34"/>
        <v>0</v>
      </c>
      <c r="AB52" s="168">
        <f t="shared" si="35"/>
        <v>0</v>
      </c>
      <c r="AC52" s="169">
        <f t="shared" si="36"/>
        <v>0</v>
      </c>
      <c r="AD52" s="170">
        <f t="shared" si="37"/>
        <v>1</v>
      </c>
      <c r="AE52" s="170">
        <f t="shared" si="38"/>
        <v>0</v>
      </c>
      <c r="AF52" s="170">
        <f t="shared" si="39"/>
        <v>1</v>
      </c>
      <c r="AG52" s="171">
        <f t="shared" si="40"/>
        <v>0</v>
      </c>
      <c r="AH52" s="171">
        <f t="shared" si="41"/>
        <v>0</v>
      </c>
      <c r="AI52" s="171">
        <f t="shared" si="42"/>
        <v>0</v>
      </c>
      <c r="AJ52" s="167">
        <f t="shared" si="43"/>
        <v>0</v>
      </c>
      <c r="AK52" s="167">
        <f t="shared" si="44"/>
        <v>0</v>
      </c>
      <c r="AL52" s="168">
        <f t="shared" si="45"/>
        <v>0</v>
      </c>
      <c r="AM52" s="169">
        <f t="shared" si="46"/>
        <v>0</v>
      </c>
      <c r="AN52" s="170">
        <f t="shared" si="47"/>
        <v>1</v>
      </c>
      <c r="AO52" s="170">
        <f t="shared" si="48"/>
        <v>0</v>
      </c>
      <c r="AP52" s="170">
        <f t="shared" si="49"/>
        <v>1</v>
      </c>
      <c r="AQ52" s="171">
        <f t="shared" si="50"/>
        <v>0</v>
      </c>
      <c r="AR52" s="171">
        <f t="shared" si="51"/>
        <v>0</v>
      </c>
      <c r="AS52" s="171">
        <f t="shared" si="52"/>
        <v>0</v>
      </c>
      <c r="AT52" s="167">
        <f t="shared" si="53"/>
        <v>0</v>
      </c>
      <c r="AU52" s="167">
        <f t="shared" si="54"/>
        <v>0</v>
      </c>
      <c r="AV52" s="168">
        <f t="shared" si="55"/>
        <v>0</v>
      </c>
      <c r="AW52" s="169">
        <f t="shared" si="56"/>
        <v>0</v>
      </c>
      <c r="AX52" s="170">
        <f t="shared" si="57"/>
        <v>1</v>
      </c>
      <c r="AY52" s="170">
        <f t="shared" si="58"/>
        <v>0</v>
      </c>
      <c r="AZ52" s="170">
        <f t="shared" si="59"/>
        <v>1</v>
      </c>
      <c r="BA52" s="171">
        <f t="shared" si="60"/>
        <v>0</v>
      </c>
      <c r="BB52" s="171">
        <f t="shared" si="61"/>
        <v>0</v>
      </c>
      <c r="BC52" s="171">
        <f t="shared" si="62"/>
        <v>0</v>
      </c>
      <c r="BD52" s="171">
        <f t="shared" si="63"/>
        <v>0</v>
      </c>
    </row>
    <row r="53" spans="1:56">
      <c r="A53" s="587" t="str">
        <f>'BANCO DADOS-CUSTO TOTAL'!C56</f>
        <v>Belo Horizonte</v>
      </c>
      <c r="B53" s="588" t="str">
        <f>'BANCO DADOS-CUSTO TOTAL'!H56</f>
        <v>BELTRANO 12378</v>
      </c>
      <c r="C53" s="588" t="str">
        <f>'BANCO DADOS-CUSTO TOTAL'!I56</f>
        <v>VIGILANTE ARMADO - 12X36 NOTURNO</v>
      </c>
      <c r="D53" s="172"/>
      <c r="E53" s="172"/>
      <c r="F53" s="167">
        <v>42370</v>
      </c>
      <c r="G53" s="167">
        <v>42399</v>
      </c>
      <c r="H53" s="168">
        <f t="shared" si="16"/>
        <v>2229.92</v>
      </c>
      <c r="I53" s="169">
        <f>'BANCO DADOS-CUSTO TOTAL'!Y56</f>
        <v>2717.9</v>
      </c>
      <c r="J53" s="170">
        <f t="shared" si="17"/>
        <v>30</v>
      </c>
      <c r="K53" s="170">
        <f t="shared" si="18"/>
        <v>1</v>
      </c>
      <c r="L53" s="170">
        <f t="shared" si="19"/>
        <v>0</v>
      </c>
      <c r="M53" s="171">
        <f t="shared" si="20"/>
        <v>185.75233600000001</v>
      </c>
      <c r="N53" s="171">
        <f t="shared" si="21"/>
        <v>226.40107</v>
      </c>
      <c r="O53" s="171">
        <f t="shared" si="22"/>
        <v>40.64873399999999</v>
      </c>
      <c r="P53" s="167">
        <f t="shared" si="23"/>
        <v>42370</v>
      </c>
      <c r="Q53" s="167">
        <f t="shared" si="24"/>
        <v>42399</v>
      </c>
      <c r="R53" s="168">
        <f t="shared" si="25"/>
        <v>2229.92</v>
      </c>
      <c r="S53" s="169">
        <f t="shared" si="26"/>
        <v>2717.9</v>
      </c>
      <c r="T53" s="170">
        <f t="shared" si="27"/>
        <v>30</v>
      </c>
      <c r="U53" s="170">
        <f t="shared" si="28"/>
        <v>1</v>
      </c>
      <c r="V53" s="170">
        <f t="shared" si="29"/>
        <v>0</v>
      </c>
      <c r="W53" s="171">
        <f t="shared" si="30"/>
        <v>247.74411200000003</v>
      </c>
      <c r="X53" s="171">
        <f t="shared" si="31"/>
        <v>301.95869000000005</v>
      </c>
      <c r="Y53" s="171">
        <f t="shared" si="32"/>
        <v>54.214578000000017</v>
      </c>
      <c r="Z53" s="167">
        <f t="shared" si="33"/>
        <v>42370</v>
      </c>
      <c r="AA53" s="167">
        <f t="shared" si="34"/>
        <v>42399</v>
      </c>
      <c r="AB53" s="168">
        <f t="shared" si="35"/>
        <v>2229.92</v>
      </c>
      <c r="AC53" s="169">
        <f t="shared" si="36"/>
        <v>2717.9</v>
      </c>
      <c r="AD53" s="170">
        <f t="shared" si="37"/>
        <v>30</v>
      </c>
      <c r="AE53" s="170">
        <f t="shared" si="38"/>
        <v>1</v>
      </c>
      <c r="AF53" s="170">
        <f t="shared" si="39"/>
        <v>0</v>
      </c>
      <c r="AG53" s="171">
        <f t="shared" si="40"/>
        <v>95.886559999999989</v>
      </c>
      <c r="AH53" s="171">
        <f t="shared" si="41"/>
        <v>116.86969999999999</v>
      </c>
      <c r="AI53" s="171">
        <f t="shared" si="42"/>
        <v>20.983140000000006</v>
      </c>
      <c r="AJ53" s="167">
        <f t="shared" si="43"/>
        <v>42370</v>
      </c>
      <c r="AK53" s="167">
        <f t="shared" si="44"/>
        <v>42399</v>
      </c>
      <c r="AL53" s="168">
        <f t="shared" si="45"/>
        <v>2229.92</v>
      </c>
      <c r="AM53" s="169">
        <f t="shared" si="46"/>
        <v>2717.9</v>
      </c>
      <c r="AN53" s="170">
        <f t="shared" si="47"/>
        <v>30</v>
      </c>
      <c r="AO53" s="170">
        <f t="shared" si="48"/>
        <v>1</v>
      </c>
      <c r="AP53" s="170">
        <f t="shared" si="49"/>
        <v>0</v>
      </c>
      <c r="AQ53" s="171">
        <f t="shared" si="50"/>
        <v>68.356859647999997</v>
      </c>
      <c r="AR53" s="171">
        <f t="shared" si="51"/>
        <v>83.315593759999999</v>
      </c>
      <c r="AS53" s="171">
        <f t="shared" si="52"/>
        <v>14.958734112000002</v>
      </c>
      <c r="AT53" s="167">
        <f t="shared" si="53"/>
        <v>42370</v>
      </c>
      <c r="AU53" s="167">
        <f t="shared" si="54"/>
        <v>42399</v>
      </c>
      <c r="AV53" s="168">
        <f t="shared" si="55"/>
        <v>2229.92</v>
      </c>
      <c r="AW53" s="169">
        <f t="shared" si="56"/>
        <v>2717.9</v>
      </c>
      <c r="AX53" s="170">
        <f t="shared" si="57"/>
        <v>30</v>
      </c>
      <c r="AY53" s="170">
        <f t="shared" si="58"/>
        <v>1</v>
      </c>
      <c r="AZ53" s="170">
        <f t="shared" si="59"/>
        <v>0</v>
      </c>
      <c r="BA53" s="171">
        <f t="shared" si="60"/>
        <v>91.169833216000001</v>
      </c>
      <c r="BB53" s="171">
        <f t="shared" si="61"/>
        <v>111.12079792</v>
      </c>
      <c r="BC53" s="171">
        <f t="shared" si="62"/>
        <v>19.950964704</v>
      </c>
      <c r="BD53" s="171">
        <f t="shared" si="63"/>
        <v>150.756150816</v>
      </c>
    </row>
    <row r="54" spans="1:56">
      <c r="A54" s="587" t="str">
        <f>'BANCO DADOS-CUSTO TOTAL'!C57</f>
        <v>Belo Horizonte</v>
      </c>
      <c r="B54" s="588" t="str">
        <f>'BANCO DADOS-CUSTO TOTAL'!H57</f>
        <v>BELTRANO 12379</v>
      </c>
      <c r="C54" s="588" t="str">
        <f>'BANCO DADOS-CUSTO TOTAL'!I57</f>
        <v>VIGILANTE ARMADO - 12X36 NOTURNO</v>
      </c>
      <c r="D54" s="172"/>
      <c r="E54" s="172"/>
      <c r="F54" s="167">
        <v>42370</v>
      </c>
      <c r="G54" s="167">
        <v>42399</v>
      </c>
      <c r="H54" s="168">
        <f t="shared" si="16"/>
        <v>2229.92</v>
      </c>
      <c r="I54" s="169">
        <f>'BANCO DADOS-CUSTO TOTAL'!Y57</f>
        <v>2717.9</v>
      </c>
      <c r="J54" s="170">
        <f t="shared" si="17"/>
        <v>30</v>
      </c>
      <c r="K54" s="170">
        <f t="shared" si="18"/>
        <v>1</v>
      </c>
      <c r="L54" s="170">
        <f t="shared" si="19"/>
        <v>0</v>
      </c>
      <c r="M54" s="171">
        <f t="shared" si="20"/>
        <v>185.75233600000001</v>
      </c>
      <c r="N54" s="171">
        <f t="shared" si="21"/>
        <v>226.40107</v>
      </c>
      <c r="O54" s="171">
        <f t="shared" si="22"/>
        <v>40.64873399999999</v>
      </c>
      <c r="P54" s="167">
        <f t="shared" si="23"/>
        <v>42370</v>
      </c>
      <c r="Q54" s="167">
        <f t="shared" si="24"/>
        <v>42399</v>
      </c>
      <c r="R54" s="168">
        <f t="shared" si="25"/>
        <v>2229.92</v>
      </c>
      <c r="S54" s="169">
        <f t="shared" si="26"/>
        <v>2717.9</v>
      </c>
      <c r="T54" s="170">
        <f t="shared" si="27"/>
        <v>30</v>
      </c>
      <c r="U54" s="170">
        <f t="shared" si="28"/>
        <v>1</v>
      </c>
      <c r="V54" s="170">
        <f t="shared" si="29"/>
        <v>0</v>
      </c>
      <c r="W54" s="171">
        <f t="shared" si="30"/>
        <v>247.74411200000003</v>
      </c>
      <c r="X54" s="171">
        <f t="shared" si="31"/>
        <v>301.95869000000005</v>
      </c>
      <c r="Y54" s="171">
        <f t="shared" si="32"/>
        <v>54.214578000000017</v>
      </c>
      <c r="Z54" s="167">
        <f t="shared" si="33"/>
        <v>42370</v>
      </c>
      <c r="AA54" s="167">
        <f t="shared" si="34"/>
        <v>42399</v>
      </c>
      <c r="AB54" s="168">
        <f t="shared" si="35"/>
        <v>2229.92</v>
      </c>
      <c r="AC54" s="169">
        <f t="shared" si="36"/>
        <v>2717.9</v>
      </c>
      <c r="AD54" s="170">
        <f t="shared" si="37"/>
        <v>30</v>
      </c>
      <c r="AE54" s="170">
        <f t="shared" si="38"/>
        <v>1</v>
      </c>
      <c r="AF54" s="170">
        <f t="shared" si="39"/>
        <v>0</v>
      </c>
      <c r="AG54" s="171">
        <f t="shared" si="40"/>
        <v>95.886559999999989</v>
      </c>
      <c r="AH54" s="171">
        <f t="shared" si="41"/>
        <v>116.86969999999999</v>
      </c>
      <c r="AI54" s="171">
        <f t="shared" si="42"/>
        <v>20.983140000000006</v>
      </c>
      <c r="AJ54" s="167">
        <f t="shared" si="43"/>
        <v>42370</v>
      </c>
      <c r="AK54" s="167">
        <f t="shared" si="44"/>
        <v>42399</v>
      </c>
      <c r="AL54" s="168">
        <f t="shared" si="45"/>
        <v>2229.92</v>
      </c>
      <c r="AM54" s="169">
        <f t="shared" si="46"/>
        <v>2717.9</v>
      </c>
      <c r="AN54" s="170">
        <f t="shared" si="47"/>
        <v>30</v>
      </c>
      <c r="AO54" s="170">
        <f t="shared" si="48"/>
        <v>1</v>
      </c>
      <c r="AP54" s="170">
        <f t="shared" si="49"/>
        <v>0</v>
      </c>
      <c r="AQ54" s="171">
        <f t="shared" si="50"/>
        <v>68.356859647999997</v>
      </c>
      <c r="AR54" s="171">
        <f t="shared" si="51"/>
        <v>83.315593759999999</v>
      </c>
      <c r="AS54" s="171">
        <f t="shared" si="52"/>
        <v>14.958734112000002</v>
      </c>
      <c r="AT54" s="167">
        <f t="shared" si="53"/>
        <v>42370</v>
      </c>
      <c r="AU54" s="167">
        <f t="shared" si="54"/>
        <v>42399</v>
      </c>
      <c r="AV54" s="168">
        <f t="shared" si="55"/>
        <v>2229.92</v>
      </c>
      <c r="AW54" s="169">
        <f t="shared" si="56"/>
        <v>2717.9</v>
      </c>
      <c r="AX54" s="170">
        <f t="shared" si="57"/>
        <v>30</v>
      </c>
      <c r="AY54" s="170">
        <f t="shared" si="58"/>
        <v>1</v>
      </c>
      <c r="AZ54" s="170">
        <f t="shared" si="59"/>
        <v>0</v>
      </c>
      <c r="BA54" s="171">
        <f t="shared" si="60"/>
        <v>91.169833216000001</v>
      </c>
      <c r="BB54" s="171">
        <f t="shared" si="61"/>
        <v>111.12079792</v>
      </c>
      <c r="BC54" s="171">
        <f t="shared" si="62"/>
        <v>19.950964704</v>
      </c>
      <c r="BD54" s="171">
        <f t="shared" si="63"/>
        <v>150.756150816</v>
      </c>
    </row>
    <row r="55" spans="1:56">
      <c r="A55" s="587" t="str">
        <f>'BANCO DADOS-CUSTO TOTAL'!C58</f>
        <v>Belo Horizonte</v>
      </c>
      <c r="B55" s="588" t="str">
        <f>'BANCO DADOS-CUSTO TOTAL'!H58</f>
        <v>BELTRANO 12380</v>
      </c>
      <c r="C55" s="588" t="str">
        <f>'BANCO DADOS-CUSTO TOTAL'!I58</f>
        <v>VIGILANTE ARMADO - 12X36 NOTURNO</v>
      </c>
      <c r="D55" s="172"/>
      <c r="E55" s="172"/>
      <c r="F55" s="167">
        <v>42370</v>
      </c>
      <c r="G55" s="167">
        <v>42399</v>
      </c>
      <c r="H55" s="168">
        <f t="shared" si="16"/>
        <v>2229.92</v>
      </c>
      <c r="I55" s="169">
        <f>'BANCO DADOS-CUSTO TOTAL'!Y58</f>
        <v>2717.9</v>
      </c>
      <c r="J55" s="170">
        <f t="shared" si="17"/>
        <v>30</v>
      </c>
      <c r="K55" s="170">
        <f t="shared" si="18"/>
        <v>1</v>
      </c>
      <c r="L55" s="170">
        <f t="shared" si="19"/>
        <v>0</v>
      </c>
      <c r="M55" s="171">
        <f t="shared" si="20"/>
        <v>185.75233600000001</v>
      </c>
      <c r="N55" s="171">
        <f t="shared" si="21"/>
        <v>226.40107</v>
      </c>
      <c r="O55" s="171">
        <f t="shared" si="22"/>
        <v>40.64873399999999</v>
      </c>
      <c r="P55" s="167">
        <f t="shared" si="23"/>
        <v>42370</v>
      </c>
      <c r="Q55" s="167">
        <f t="shared" si="24"/>
        <v>42399</v>
      </c>
      <c r="R55" s="168">
        <f t="shared" si="25"/>
        <v>2229.92</v>
      </c>
      <c r="S55" s="169">
        <f t="shared" si="26"/>
        <v>2717.9</v>
      </c>
      <c r="T55" s="170">
        <f t="shared" si="27"/>
        <v>30</v>
      </c>
      <c r="U55" s="170">
        <f t="shared" si="28"/>
        <v>1</v>
      </c>
      <c r="V55" s="170">
        <f t="shared" si="29"/>
        <v>0</v>
      </c>
      <c r="W55" s="171">
        <f t="shared" si="30"/>
        <v>247.74411200000003</v>
      </c>
      <c r="X55" s="171">
        <f t="shared" si="31"/>
        <v>301.95869000000005</v>
      </c>
      <c r="Y55" s="171">
        <f t="shared" si="32"/>
        <v>54.214578000000017</v>
      </c>
      <c r="Z55" s="167">
        <f t="shared" si="33"/>
        <v>42370</v>
      </c>
      <c r="AA55" s="167">
        <f t="shared" si="34"/>
        <v>42399</v>
      </c>
      <c r="AB55" s="168">
        <f t="shared" si="35"/>
        <v>2229.92</v>
      </c>
      <c r="AC55" s="169">
        <f t="shared" si="36"/>
        <v>2717.9</v>
      </c>
      <c r="AD55" s="170">
        <f t="shared" si="37"/>
        <v>30</v>
      </c>
      <c r="AE55" s="170">
        <f t="shared" si="38"/>
        <v>1</v>
      </c>
      <c r="AF55" s="170">
        <f t="shared" si="39"/>
        <v>0</v>
      </c>
      <c r="AG55" s="171">
        <f t="shared" si="40"/>
        <v>95.886559999999989</v>
      </c>
      <c r="AH55" s="171">
        <f t="shared" si="41"/>
        <v>116.86969999999999</v>
      </c>
      <c r="AI55" s="171">
        <f t="shared" si="42"/>
        <v>20.983140000000006</v>
      </c>
      <c r="AJ55" s="167">
        <f t="shared" si="43"/>
        <v>42370</v>
      </c>
      <c r="AK55" s="167">
        <f t="shared" si="44"/>
        <v>42399</v>
      </c>
      <c r="AL55" s="168">
        <f t="shared" si="45"/>
        <v>2229.92</v>
      </c>
      <c r="AM55" s="169">
        <f t="shared" si="46"/>
        <v>2717.9</v>
      </c>
      <c r="AN55" s="170">
        <f t="shared" si="47"/>
        <v>30</v>
      </c>
      <c r="AO55" s="170">
        <f t="shared" si="48"/>
        <v>1</v>
      </c>
      <c r="AP55" s="170">
        <f t="shared" si="49"/>
        <v>0</v>
      </c>
      <c r="AQ55" s="171">
        <f t="shared" si="50"/>
        <v>68.356859647999997</v>
      </c>
      <c r="AR55" s="171">
        <f t="shared" si="51"/>
        <v>83.315593759999999</v>
      </c>
      <c r="AS55" s="171">
        <f t="shared" si="52"/>
        <v>14.958734112000002</v>
      </c>
      <c r="AT55" s="167">
        <f t="shared" si="53"/>
        <v>42370</v>
      </c>
      <c r="AU55" s="167">
        <f t="shared" si="54"/>
        <v>42399</v>
      </c>
      <c r="AV55" s="168">
        <f t="shared" si="55"/>
        <v>2229.92</v>
      </c>
      <c r="AW55" s="169">
        <f t="shared" si="56"/>
        <v>2717.9</v>
      </c>
      <c r="AX55" s="170">
        <f t="shared" si="57"/>
        <v>30</v>
      </c>
      <c r="AY55" s="170">
        <f t="shared" si="58"/>
        <v>1</v>
      </c>
      <c r="AZ55" s="170">
        <f t="shared" si="59"/>
        <v>0</v>
      </c>
      <c r="BA55" s="171">
        <f t="shared" si="60"/>
        <v>91.169833216000001</v>
      </c>
      <c r="BB55" s="171">
        <f t="shared" si="61"/>
        <v>111.12079792</v>
      </c>
      <c r="BC55" s="171">
        <f t="shared" si="62"/>
        <v>19.950964704</v>
      </c>
      <c r="BD55" s="171">
        <f t="shared" si="63"/>
        <v>150.756150816</v>
      </c>
    </row>
    <row r="56" spans="1:56">
      <c r="A56" s="587" t="str">
        <f>'BANCO DADOS-CUSTO TOTAL'!C59</f>
        <v>Belo Horizonte</v>
      </c>
      <c r="B56" s="588" t="str">
        <f>'BANCO DADOS-CUSTO TOTAL'!H59</f>
        <v>BELTRANO 12381</v>
      </c>
      <c r="C56" s="588" t="str">
        <f>'BANCO DADOS-CUSTO TOTAL'!I59</f>
        <v>VIGILANTE ARMADO - 12X36 NOTURNO</v>
      </c>
      <c r="D56" s="172"/>
      <c r="E56" s="172"/>
      <c r="F56" s="167">
        <v>42370</v>
      </c>
      <c r="G56" s="167">
        <v>42399</v>
      </c>
      <c r="H56" s="168">
        <f t="shared" si="16"/>
        <v>2229.92</v>
      </c>
      <c r="I56" s="169">
        <f>'BANCO DADOS-CUSTO TOTAL'!Y59</f>
        <v>2717.9</v>
      </c>
      <c r="J56" s="170">
        <f t="shared" si="17"/>
        <v>30</v>
      </c>
      <c r="K56" s="170">
        <f t="shared" si="18"/>
        <v>1</v>
      </c>
      <c r="L56" s="170">
        <f t="shared" si="19"/>
        <v>0</v>
      </c>
      <c r="M56" s="171">
        <f t="shared" si="20"/>
        <v>185.75233600000001</v>
      </c>
      <c r="N56" s="171">
        <f t="shared" si="21"/>
        <v>226.40107</v>
      </c>
      <c r="O56" s="171">
        <f t="shared" si="22"/>
        <v>40.64873399999999</v>
      </c>
      <c r="P56" s="167">
        <f t="shared" si="23"/>
        <v>42370</v>
      </c>
      <c r="Q56" s="167">
        <f t="shared" si="24"/>
        <v>42399</v>
      </c>
      <c r="R56" s="168">
        <f t="shared" si="25"/>
        <v>2229.92</v>
      </c>
      <c r="S56" s="169">
        <f t="shared" si="26"/>
        <v>2717.9</v>
      </c>
      <c r="T56" s="170">
        <f t="shared" si="27"/>
        <v>30</v>
      </c>
      <c r="U56" s="170">
        <f t="shared" si="28"/>
        <v>1</v>
      </c>
      <c r="V56" s="170">
        <f t="shared" si="29"/>
        <v>0</v>
      </c>
      <c r="W56" s="171">
        <f t="shared" si="30"/>
        <v>247.74411200000003</v>
      </c>
      <c r="X56" s="171">
        <f t="shared" si="31"/>
        <v>301.95869000000005</v>
      </c>
      <c r="Y56" s="171">
        <f t="shared" si="32"/>
        <v>54.214578000000017</v>
      </c>
      <c r="Z56" s="167">
        <f t="shared" si="33"/>
        <v>42370</v>
      </c>
      <c r="AA56" s="167">
        <f t="shared" si="34"/>
        <v>42399</v>
      </c>
      <c r="AB56" s="168">
        <f t="shared" si="35"/>
        <v>2229.92</v>
      </c>
      <c r="AC56" s="169">
        <f t="shared" si="36"/>
        <v>2717.9</v>
      </c>
      <c r="AD56" s="170">
        <f t="shared" si="37"/>
        <v>30</v>
      </c>
      <c r="AE56" s="170">
        <f t="shared" si="38"/>
        <v>1</v>
      </c>
      <c r="AF56" s="170">
        <f t="shared" si="39"/>
        <v>0</v>
      </c>
      <c r="AG56" s="171">
        <f t="shared" si="40"/>
        <v>95.886559999999989</v>
      </c>
      <c r="AH56" s="171">
        <f t="shared" si="41"/>
        <v>116.86969999999999</v>
      </c>
      <c r="AI56" s="171">
        <f t="shared" si="42"/>
        <v>20.983140000000006</v>
      </c>
      <c r="AJ56" s="167">
        <f t="shared" si="43"/>
        <v>42370</v>
      </c>
      <c r="AK56" s="167">
        <f t="shared" si="44"/>
        <v>42399</v>
      </c>
      <c r="AL56" s="168">
        <f t="shared" si="45"/>
        <v>2229.92</v>
      </c>
      <c r="AM56" s="169">
        <f t="shared" si="46"/>
        <v>2717.9</v>
      </c>
      <c r="AN56" s="170">
        <f t="shared" si="47"/>
        <v>30</v>
      </c>
      <c r="AO56" s="170">
        <f t="shared" si="48"/>
        <v>1</v>
      </c>
      <c r="AP56" s="170">
        <f t="shared" si="49"/>
        <v>0</v>
      </c>
      <c r="AQ56" s="171">
        <f t="shared" si="50"/>
        <v>68.356859647999997</v>
      </c>
      <c r="AR56" s="171">
        <f t="shared" si="51"/>
        <v>83.315593759999999</v>
      </c>
      <c r="AS56" s="171">
        <f t="shared" si="52"/>
        <v>14.958734112000002</v>
      </c>
      <c r="AT56" s="167">
        <f t="shared" si="53"/>
        <v>42370</v>
      </c>
      <c r="AU56" s="167">
        <f t="shared" si="54"/>
        <v>42399</v>
      </c>
      <c r="AV56" s="168">
        <f t="shared" si="55"/>
        <v>2229.92</v>
      </c>
      <c r="AW56" s="169">
        <f t="shared" si="56"/>
        <v>2717.9</v>
      </c>
      <c r="AX56" s="170">
        <f t="shared" si="57"/>
        <v>30</v>
      </c>
      <c r="AY56" s="170">
        <f t="shared" si="58"/>
        <v>1</v>
      </c>
      <c r="AZ56" s="170">
        <f t="shared" si="59"/>
        <v>0</v>
      </c>
      <c r="BA56" s="171">
        <f t="shared" si="60"/>
        <v>91.169833216000001</v>
      </c>
      <c r="BB56" s="171">
        <f t="shared" si="61"/>
        <v>111.12079792</v>
      </c>
      <c r="BC56" s="171">
        <f t="shared" si="62"/>
        <v>19.950964704</v>
      </c>
      <c r="BD56" s="171">
        <f t="shared" si="63"/>
        <v>150.756150816</v>
      </c>
    </row>
    <row r="57" spans="1:56">
      <c r="A57" s="587" t="str">
        <f>'BANCO DADOS-CUSTO TOTAL'!C61</f>
        <v>Betim</v>
      </c>
      <c r="B57" s="588" t="str">
        <f>'BANCO DADOS-CUSTO TOTAL'!H61</f>
        <v>BELTRANO 12383</v>
      </c>
      <c r="C57" s="588" t="str">
        <f>'BANCO DADOS-CUSTO TOTAL'!I61</f>
        <v>VIGILANTE ARMADO - 12X36 DIURNO</v>
      </c>
      <c r="D57" s="172"/>
      <c r="E57" s="172"/>
      <c r="F57" s="167">
        <v>42370</v>
      </c>
      <c r="G57" s="167">
        <v>42399</v>
      </c>
      <c r="H57" s="168">
        <f t="shared" si="16"/>
        <v>1869.08</v>
      </c>
      <c r="I57" s="169">
        <f>'BANCO DADOS-CUSTO TOTAL'!Y61</f>
        <v>2277.88</v>
      </c>
      <c r="J57" s="170">
        <f t="shared" si="17"/>
        <v>30</v>
      </c>
      <c r="K57" s="170">
        <f t="shared" si="18"/>
        <v>1</v>
      </c>
      <c r="L57" s="170">
        <f t="shared" si="19"/>
        <v>0</v>
      </c>
      <c r="M57" s="171">
        <f t="shared" si="20"/>
        <v>155.69436399999998</v>
      </c>
      <c r="N57" s="171">
        <f t="shared" si="21"/>
        <v>189.74740400000002</v>
      </c>
      <c r="O57" s="171">
        <f t="shared" si="22"/>
        <v>34.053040000000038</v>
      </c>
      <c r="P57" s="167">
        <f t="shared" si="23"/>
        <v>42370</v>
      </c>
      <c r="Q57" s="167">
        <f t="shared" si="24"/>
        <v>42399</v>
      </c>
      <c r="R57" s="168">
        <f t="shared" si="25"/>
        <v>1869.08</v>
      </c>
      <c r="S57" s="169">
        <f t="shared" si="26"/>
        <v>2277.88</v>
      </c>
      <c r="T57" s="170">
        <f t="shared" si="27"/>
        <v>30</v>
      </c>
      <c r="U57" s="170">
        <f t="shared" si="28"/>
        <v>1</v>
      </c>
      <c r="V57" s="170">
        <f t="shared" si="29"/>
        <v>0</v>
      </c>
      <c r="W57" s="171">
        <f t="shared" si="30"/>
        <v>207.654788</v>
      </c>
      <c r="X57" s="171">
        <f t="shared" si="31"/>
        <v>253.07246800000001</v>
      </c>
      <c r="Y57" s="171">
        <f t="shared" si="32"/>
        <v>45.417680000000018</v>
      </c>
      <c r="Z57" s="167">
        <f t="shared" si="33"/>
        <v>42370</v>
      </c>
      <c r="AA57" s="167">
        <f t="shared" si="34"/>
        <v>42399</v>
      </c>
      <c r="AB57" s="168">
        <f t="shared" si="35"/>
        <v>1869.08</v>
      </c>
      <c r="AC57" s="169">
        <f t="shared" si="36"/>
        <v>2277.88</v>
      </c>
      <c r="AD57" s="170">
        <f t="shared" si="37"/>
        <v>30</v>
      </c>
      <c r="AE57" s="170">
        <f t="shared" si="38"/>
        <v>1</v>
      </c>
      <c r="AF57" s="170">
        <f t="shared" si="39"/>
        <v>0</v>
      </c>
      <c r="AG57" s="171">
        <f t="shared" si="40"/>
        <v>80.370439999999988</v>
      </c>
      <c r="AH57" s="171">
        <f t="shared" si="41"/>
        <v>97.94883999999999</v>
      </c>
      <c r="AI57" s="171">
        <f t="shared" si="42"/>
        <v>17.578400000000002</v>
      </c>
      <c r="AJ57" s="167">
        <f t="shared" si="43"/>
        <v>42370</v>
      </c>
      <c r="AK57" s="167">
        <f t="shared" si="44"/>
        <v>42399</v>
      </c>
      <c r="AL57" s="168">
        <f t="shared" si="45"/>
        <v>1869.08</v>
      </c>
      <c r="AM57" s="169">
        <f t="shared" si="46"/>
        <v>2277.88</v>
      </c>
      <c r="AN57" s="170">
        <f t="shared" si="47"/>
        <v>30</v>
      </c>
      <c r="AO57" s="170">
        <f t="shared" si="48"/>
        <v>1</v>
      </c>
      <c r="AP57" s="170">
        <f t="shared" si="49"/>
        <v>0</v>
      </c>
      <c r="AQ57" s="171">
        <f t="shared" si="50"/>
        <v>57.295525951999991</v>
      </c>
      <c r="AR57" s="171">
        <f t="shared" si="51"/>
        <v>69.827044672</v>
      </c>
      <c r="AS57" s="171">
        <f t="shared" si="52"/>
        <v>12.531518720000008</v>
      </c>
      <c r="AT57" s="167">
        <f t="shared" si="53"/>
        <v>42370</v>
      </c>
      <c r="AU57" s="167">
        <f t="shared" si="54"/>
        <v>42399</v>
      </c>
      <c r="AV57" s="168">
        <f t="shared" si="55"/>
        <v>1869.08</v>
      </c>
      <c r="AW57" s="169">
        <f t="shared" si="56"/>
        <v>2277.88</v>
      </c>
      <c r="AX57" s="170">
        <f t="shared" si="57"/>
        <v>30</v>
      </c>
      <c r="AY57" s="170">
        <f t="shared" si="58"/>
        <v>1</v>
      </c>
      <c r="AZ57" s="170">
        <f t="shared" si="59"/>
        <v>0</v>
      </c>
      <c r="BA57" s="171">
        <f t="shared" si="60"/>
        <v>76.416961983999997</v>
      </c>
      <c r="BB57" s="171">
        <f t="shared" si="61"/>
        <v>93.130668224000004</v>
      </c>
      <c r="BC57" s="171">
        <f t="shared" si="62"/>
        <v>16.713706240000008</v>
      </c>
      <c r="BD57" s="171">
        <f t="shared" si="63"/>
        <v>126.29434496000007</v>
      </c>
    </row>
    <row r="58" spans="1:56">
      <c r="A58" s="587" t="str">
        <f>'BANCO DADOS-CUSTO TOTAL'!C62</f>
        <v>Betim</v>
      </c>
      <c r="B58" s="588" t="str">
        <f>'BANCO DADOS-CUSTO TOTAL'!H62</f>
        <v>BELTRANO 12384</v>
      </c>
      <c r="C58" s="588" t="str">
        <f>'BANCO DADOS-CUSTO TOTAL'!I62</f>
        <v>VIGILANTE ARMADO - 12X36 DIURNO</v>
      </c>
      <c r="D58" s="172"/>
      <c r="E58" s="172"/>
      <c r="F58" s="167">
        <v>42370</v>
      </c>
      <c r="G58" s="167">
        <v>42399</v>
      </c>
      <c r="H58" s="168">
        <f t="shared" si="16"/>
        <v>1869.08</v>
      </c>
      <c r="I58" s="169">
        <f>'BANCO DADOS-CUSTO TOTAL'!Y62</f>
        <v>2277.88</v>
      </c>
      <c r="J58" s="170">
        <f t="shared" si="17"/>
        <v>30</v>
      </c>
      <c r="K58" s="170">
        <f t="shared" si="18"/>
        <v>1</v>
      </c>
      <c r="L58" s="170">
        <f t="shared" si="19"/>
        <v>0</v>
      </c>
      <c r="M58" s="171">
        <f t="shared" si="20"/>
        <v>155.69436399999998</v>
      </c>
      <c r="N58" s="171">
        <f t="shared" si="21"/>
        <v>189.74740400000002</v>
      </c>
      <c r="O58" s="171">
        <f t="shared" si="22"/>
        <v>34.053040000000038</v>
      </c>
      <c r="P58" s="167">
        <f t="shared" si="23"/>
        <v>42370</v>
      </c>
      <c r="Q58" s="167">
        <f t="shared" si="24"/>
        <v>42399</v>
      </c>
      <c r="R58" s="168">
        <f t="shared" si="25"/>
        <v>1869.08</v>
      </c>
      <c r="S58" s="169">
        <f t="shared" si="26"/>
        <v>2277.88</v>
      </c>
      <c r="T58" s="170">
        <f t="shared" si="27"/>
        <v>30</v>
      </c>
      <c r="U58" s="170">
        <f t="shared" si="28"/>
        <v>1</v>
      </c>
      <c r="V58" s="170">
        <f t="shared" si="29"/>
        <v>0</v>
      </c>
      <c r="W58" s="171">
        <f t="shared" si="30"/>
        <v>207.654788</v>
      </c>
      <c r="X58" s="171">
        <f t="shared" si="31"/>
        <v>253.07246800000001</v>
      </c>
      <c r="Y58" s="171">
        <f t="shared" si="32"/>
        <v>45.417680000000018</v>
      </c>
      <c r="Z58" s="167">
        <f t="shared" si="33"/>
        <v>42370</v>
      </c>
      <c r="AA58" s="167">
        <f t="shared" si="34"/>
        <v>42399</v>
      </c>
      <c r="AB58" s="168">
        <f t="shared" si="35"/>
        <v>1869.08</v>
      </c>
      <c r="AC58" s="169">
        <f t="shared" si="36"/>
        <v>2277.88</v>
      </c>
      <c r="AD58" s="170">
        <f t="shared" si="37"/>
        <v>30</v>
      </c>
      <c r="AE58" s="170">
        <f t="shared" si="38"/>
        <v>1</v>
      </c>
      <c r="AF58" s="170">
        <f t="shared" si="39"/>
        <v>0</v>
      </c>
      <c r="AG58" s="171">
        <f t="shared" si="40"/>
        <v>80.370439999999988</v>
      </c>
      <c r="AH58" s="171">
        <f t="shared" si="41"/>
        <v>97.94883999999999</v>
      </c>
      <c r="AI58" s="171">
        <f t="shared" si="42"/>
        <v>17.578400000000002</v>
      </c>
      <c r="AJ58" s="167">
        <f t="shared" si="43"/>
        <v>42370</v>
      </c>
      <c r="AK58" s="167">
        <f t="shared" si="44"/>
        <v>42399</v>
      </c>
      <c r="AL58" s="168">
        <f t="shared" si="45"/>
        <v>1869.08</v>
      </c>
      <c r="AM58" s="169">
        <f t="shared" si="46"/>
        <v>2277.88</v>
      </c>
      <c r="AN58" s="170">
        <f t="shared" si="47"/>
        <v>30</v>
      </c>
      <c r="AO58" s="170">
        <f t="shared" si="48"/>
        <v>1</v>
      </c>
      <c r="AP58" s="170">
        <f t="shared" si="49"/>
        <v>0</v>
      </c>
      <c r="AQ58" s="171">
        <f t="shared" si="50"/>
        <v>57.295525951999991</v>
      </c>
      <c r="AR58" s="171">
        <f t="shared" si="51"/>
        <v>69.827044672</v>
      </c>
      <c r="AS58" s="171">
        <f t="shared" si="52"/>
        <v>12.531518720000008</v>
      </c>
      <c r="AT58" s="167">
        <f t="shared" si="53"/>
        <v>42370</v>
      </c>
      <c r="AU58" s="167">
        <f t="shared" si="54"/>
        <v>42399</v>
      </c>
      <c r="AV58" s="168">
        <f t="shared" si="55"/>
        <v>1869.08</v>
      </c>
      <c r="AW58" s="169">
        <f t="shared" si="56"/>
        <v>2277.88</v>
      </c>
      <c r="AX58" s="170">
        <f t="shared" si="57"/>
        <v>30</v>
      </c>
      <c r="AY58" s="170">
        <f t="shared" si="58"/>
        <v>1</v>
      </c>
      <c r="AZ58" s="170">
        <f t="shared" si="59"/>
        <v>0</v>
      </c>
      <c r="BA58" s="171">
        <f t="shared" si="60"/>
        <v>76.416961983999997</v>
      </c>
      <c r="BB58" s="171">
        <f t="shared" si="61"/>
        <v>93.130668224000004</v>
      </c>
      <c r="BC58" s="171">
        <f t="shared" si="62"/>
        <v>16.713706240000008</v>
      </c>
      <c r="BD58" s="171">
        <f t="shared" si="63"/>
        <v>126.29434496000007</v>
      </c>
    </row>
    <row r="59" spans="1:56">
      <c r="A59" s="587" t="str">
        <f>'BANCO DADOS-CUSTO TOTAL'!C64</f>
        <v>Caeté</v>
      </c>
      <c r="B59" s="588" t="str">
        <f>'BANCO DADOS-CUSTO TOTAL'!H64</f>
        <v>BELTRANO 12385</v>
      </c>
      <c r="C59" s="588" t="str">
        <f>'BANCO DADOS-CUSTO TOTAL'!I64</f>
        <v>VIGILANTE ARMADO - 220 H</v>
      </c>
      <c r="D59" s="172"/>
      <c r="E59" s="172"/>
      <c r="F59" s="167">
        <v>42370</v>
      </c>
      <c r="G59" s="167">
        <v>42399</v>
      </c>
      <c r="H59" s="168">
        <f t="shared" si="16"/>
        <v>2035.8</v>
      </c>
      <c r="I59" s="169">
        <f>'BANCO DADOS-CUSTO TOTAL'!Y64</f>
        <v>2287.0300000000002</v>
      </c>
      <c r="J59" s="170">
        <f t="shared" si="17"/>
        <v>30</v>
      </c>
      <c r="K59" s="170">
        <f t="shared" si="18"/>
        <v>1</v>
      </c>
      <c r="L59" s="170">
        <f t="shared" si="19"/>
        <v>0</v>
      </c>
      <c r="M59" s="171">
        <f t="shared" si="20"/>
        <v>169.58213999999998</v>
      </c>
      <c r="N59" s="171">
        <f t="shared" si="21"/>
        <v>190.50959900000001</v>
      </c>
      <c r="O59" s="171">
        <f t="shared" si="22"/>
        <v>20.927459000000027</v>
      </c>
      <c r="P59" s="167">
        <f t="shared" si="23"/>
        <v>42370</v>
      </c>
      <c r="Q59" s="167">
        <f t="shared" si="24"/>
        <v>42399</v>
      </c>
      <c r="R59" s="168">
        <f t="shared" si="25"/>
        <v>2035.8</v>
      </c>
      <c r="S59" s="169">
        <f t="shared" si="26"/>
        <v>2287.0300000000002</v>
      </c>
      <c r="T59" s="170">
        <f t="shared" si="27"/>
        <v>30</v>
      </c>
      <c r="U59" s="170">
        <f t="shared" si="28"/>
        <v>1</v>
      </c>
      <c r="V59" s="170">
        <f t="shared" si="29"/>
        <v>0</v>
      </c>
      <c r="W59" s="171">
        <f t="shared" si="30"/>
        <v>226.17738</v>
      </c>
      <c r="X59" s="171">
        <f t="shared" si="31"/>
        <v>254.08903300000003</v>
      </c>
      <c r="Y59" s="171">
        <f t="shared" si="32"/>
        <v>27.91165300000003</v>
      </c>
      <c r="Z59" s="167">
        <f t="shared" si="33"/>
        <v>42370</v>
      </c>
      <c r="AA59" s="167">
        <f t="shared" si="34"/>
        <v>42399</v>
      </c>
      <c r="AB59" s="168">
        <f t="shared" si="35"/>
        <v>2035.8</v>
      </c>
      <c r="AC59" s="169">
        <f t="shared" si="36"/>
        <v>2287.0300000000002</v>
      </c>
      <c r="AD59" s="170">
        <f t="shared" si="37"/>
        <v>30</v>
      </c>
      <c r="AE59" s="170">
        <f t="shared" si="38"/>
        <v>1</v>
      </c>
      <c r="AF59" s="170">
        <f t="shared" si="39"/>
        <v>0</v>
      </c>
      <c r="AG59" s="171">
        <f t="shared" si="40"/>
        <v>87.539399999999986</v>
      </c>
      <c r="AH59" s="171">
        <f t="shared" si="41"/>
        <v>98.342290000000006</v>
      </c>
      <c r="AI59" s="171">
        <f t="shared" si="42"/>
        <v>10.802890000000019</v>
      </c>
      <c r="AJ59" s="167">
        <f t="shared" si="43"/>
        <v>42370</v>
      </c>
      <c r="AK59" s="167">
        <f t="shared" si="44"/>
        <v>42399</v>
      </c>
      <c r="AL59" s="168">
        <f t="shared" si="45"/>
        <v>2035.8</v>
      </c>
      <c r="AM59" s="169">
        <f t="shared" si="46"/>
        <v>2287.0300000000002</v>
      </c>
      <c r="AN59" s="170">
        <f t="shared" si="47"/>
        <v>30</v>
      </c>
      <c r="AO59" s="170">
        <f t="shared" si="48"/>
        <v>1</v>
      </c>
      <c r="AP59" s="170">
        <f t="shared" si="49"/>
        <v>0</v>
      </c>
      <c r="AQ59" s="171">
        <f t="shared" si="50"/>
        <v>62.406227519999995</v>
      </c>
      <c r="AR59" s="171">
        <f t="shared" si="51"/>
        <v>70.107532431999999</v>
      </c>
      <c r="AS59" s="171">
        <f t="shared" si="52"/>
        <v>7.7013049120000048</v>
      </c>
      <c r="AT59" s="167">
        <f t="shared" si="53"/>
        <v>42370</v>
      </c>
      <c r="AU59" s="167">
        <f t="shared" si="54"/>
        <v>42399</v>
      </c>
      <c r="AV59" s="168">
        <f t="shared" si="55"/>
        <v>2035.8</v>
      </c>
      <c r="AW59" s="169">
        <f t="shared" si="56"/>
        <v>2287.0300000000002</v>
      </c>
      <c r="AX59" s="170">
        <f t="shared" si="57"/>
        <v>30</v>
      </c>
      <c r="AY59" s="170">
        <f t="shared" si="58"/>
        <v>1</v>
      </c>
      <c r="AZ59" s="170">
        <f t="shared" si="59"/>
        <v>0</v>
      </c>
      <c r="BA59" s="171">
        <f t="shared" si="60"/>
        <v>83.23327583999999</v>
      </c>
      <c r="BB59" s="171">
        <f t="shared" si="61"/>
        <v>93.504764144000006</v>
      </c>
      <c r="BC59" s="171">
        <f t="shared" si="62"/>
        <v>10.271488304000016</v>
      </c>
      <c r="BD59" s="171">
        <f t="shared" si="63"/>
        <v>77.61479521600009</v>
      </c>
    </row>
    <row r="60" spans="1:56">
      <c r="A60" s="587" t="str">
        <f>'BANCO DADOS-CUSTO TOTAL'!C66</f>
        <v>Campo Belo</v>
      </c>
      <c r="B60" s="588" t="str">
        <f>'BANCO DADOS-CUSTO TOTAL'!H66</f>
        <v>BELTRANO 12386</v>
      </c>
      <c r="C60" s="588" t="str">
        <f>'BANCO DADOS-CUSTO TOTAL'!I66</f>
        <v>VIGILANTE ARMADO - 220 H</v>
      </c>
      <c r="D60" s="172"/>
      <c r="E60" s="172"/>
      <c r="F60" s="167">
        <v>42370</v>
      </c>
      <c r="G60" s="167">
        <v>42399</v>
      </c>
      <c r="H60" s="168">
        <f t="shared" si="16"/>
        <v>2035.8</v>
      </c>
      <c r="I60" s="169">
        <f>'BANCO DADOS-CUSTO TOTAL'!Y66</f>
        <v>2287.0300000000002</v>
      </c>
      <c r="J60" s="170">
        <f t="shared" si="17"/>
        <v>30</v>
      </c>
      <c r="K60" s="170">
        <f t="shared" si="18"/>
        <v>1</v>
      </c>
      <c r="L60" s="170">
        <f t="shared" si="19"/>
        <v>0</v>
      </c>
      <c r="M60" s="171">
        <f t="shared" si="20"/>
        <v>169.58213999999998</v>
      </c>
      <c r="N60" s="171">
        <f t="shared" si="21"/>
        <v>190.50959900000001</v>
      </c>
      <c r="O60" s="171">
        <f t="shared" si="22"/>
        <v>20.927459000000027</v>
      </c>
      <c r="P60" s="167">
        <f t="shared" si="23"/>
        <v>42370</v>
      </c>
      <c r="Q60" s="167">
        <f t="shared" si="24"/>
        <v>42399</v>
      </c>
      <c r="R60" s="168">
        <f t="shared" si="25"/>
        <v>2035.8</v>
      </c>
      <c r="S60" s="169">
        <f t="shared" si="26"/>
        <v>2287.0300000000002</v>
      </c>
      <c r="T60" s="170">
        <f t="shared" si="27"/>
        <v>30</v>
      </c>
      <c r="U60" s="170">
        <f t="shared" si="28"/>
        <v>1</v>
      </c>
      <c r="V60" s="170">
        <f t="shared" si="29"/>
        <v>0</v>
      </c>
      <c r="W60" s="171">
        <f t="shared" si="30"/>
        <v>226.17738</v>
      </c>
      <c r="X60" s="171">
        <f t="shared" si="31"/>
        <v>254.08903300000003</v>
      </c>
      <c r="Y60" s="171">
        <f t="shared" si="32"/>
        <v>27.91165300000003</v>
      </c>
      <c r="Z60" s="167">
        <f t="shared" si="33"/>
        <v>42370</v>
      </c>
      <c r="AA60" s="167">
        <f t="shared" si="34"/>
        <v>42399</v>
      </c>
      <c r="AB60" s="168">
        <f t="shared" si="35"/>
        <v>2035.8</v>
      </c>
      <c r="AC60" s="169">
        <f t="shared" si="36"/>
        <v>2287.0300000000002</v>
      </c>
      <c r="AD60" s="170">
        <f t="shared" si="37"/>
        <v>30</v>
      </c>
      <c r="AE60" s="170">
        <f t="shared" si="38"/>
        <v>1</v>
      </c>
      <c r="AF60" s="170">
        <f t="shared" si="39"/>
        <v>0</v>
      </c>
      <c r="AG60" s="171">
        <f t="shared" si="40"/>
        <v>87.539399999999986</v>
      </c>
      <c r="AH60" s="171">
        <f t="shared" si="41"/>
        <v>98.342290000000006</v>
      </c>
      <c r="AI60" s="171">
        <f t="shared" si="42"/>
        <v>10.802890000000019</v>
      </c>
      <c r="AJ60" s="167">
        <f t="shared" si="43"/>
        <v>42370</v>
      </c>
      <c r="AK60" s="167">
        <f t="shared" si="44"/>
        <v>42399</v>
      </c>
      <c r="AL60" s="168">
        <f t="shared" si="45"/>
        <v>2035.8</v>
      </c>
      <c r="AM60" s="169">
        <f t="shared" si="46"/>
        <v>2287.0300000000002</v>
      </c>
      <c r="AN60" s="170">
        <f t="shared" si="47"/>
        <v>30</v>
      </c>
      <c r="AO60" s="170">
        <f t="shared" si="48"/>
        <v>1</v>
      </c>
      <c r="AP60" s="170">
        <f t="shared" si="49"/>
        <v>0</v>
      </c>
      <c r="AQ60" s="171">
        <f t="shared" si="50"/>
        <v>62.406227519999995</v>
      </c>
      <c r="AR60" s="171">
        <f t="shared" si="51"/>
        <v>70.107532431999999</v>
      </c>
      <c r="AS60" s="171">
        <f t="shared" si="52"/>
        <v>7.7013049120000048</v>
      </c>
      <c r="AT60" s="167">
        <f t="shared" si="53"/>
        <v>42370</v>
      </c>
      <c r="AU60" s="167">
        <f t="shared" si="54"/>
        <v>42399</v>
      </c>
      <c r="AV60" s="168">
        <f t="shared" si="55"/>
        <v>2035.8</v>
      </c>
      <c r="AW60" s="169">
        <f t="shared" si="56"/>
        <v>2287.0300000000002</v>
      </c>
      <c r="AX60" s="170">
        <f t="shared" si="57"/>
        <v>30</v>
      </c>
      <c r="AY60" s="170">
        <f t="shared" si="58"/>
        <v>1</v>
      </c>
      <c r="AZ60" s="170">
        <f t="shared" si="59"/>
        <v>0</v>
      </c>
      <c r="BA60" s="171">
        <f t="shared" si="60"/>
        <v>83.23327583999999</v>
      </c>
      <c r="BB60" s="171">
        <f t="shared" si="61"/>
        <v>93.504764144000006</v>
      </c>
      <c r="BC60" s="171">
        <f t="shared" si="62"/>
        <v>10.271488304000016</v>
      </c>
      <c r="BD60" s="171">
        <f t="shared" si="63"/>
        <v>77.61479521600009</v>
      </c>
    </row>
    <row r="61" spans="1:56">
      <c r="A61" s="587" t="str">
        <f>'BANCO DADOS-CUSTO TOTAL'!C68</f>
        <v>Conselheiro Lafaiete</v>
      </c>
      <c r="B61" s="588" t="str">
        <f>'BANCO DADOS-CUSTO TOTAL'!H68</f>
        <v>BELTRANO 12387</v>
      </c>
      <c r="C61" s="588" t="str">
        <f>'BANCO DADOS-CUSTO TOTAL'!I68</f>
        <v>VIGILANTE ARMADO - 12X36 DIURNO</v>
      </c>
      <c r="D61" s="172"/>
      <c r="E61" s="172"/>
      <c r="F61" s="167">
        <v>42370</v>
      </c>
      <c r="G61" s="167">
        <v>42399</v>
      </c>
      <c r="H61" s="168">
        <f t="shared" si="16"/>
        <v>1869.08</v>
      </c>
      <c r="I61" s="169">
        <f>'BANCO DADOS-CUSTO TOTAL'!Y68</f>
        <v>2277.88</v>
      </c>
      <c r="J61" s="170">
        <f t="shared" si="17"/>
        <v>30</v>
      </c>
      <c r="K61" s="170">
        <f t="shared" si="18"/>
        <v>1</v>
      </c>
      <c r="L61" s="170">
        <f t="shared" si="19"/>
        <v>0</v>
      </c>
      <c r="M61" s="171">
        <f t="shared" si="20"/>
        <v>155.69436399999998</v>
      </c>
      <c r="N61" s="171">
        <f t="shared" si="21"/>
        <v>189.74740400000002</v>
      </c>
      <c r="O61" s="171">
        <f t="shared" si="22"/>
        <v>34.053040000000038</v>
      </c>
      <c r="P61" s="167">
        <f t="shared" si="23"/>
        <v>42370</v>
      </c>
      <c r="Q61" s="167">
        <f t="shared" si="24"/>
        <v>42399</v>
      </c>
      <c r="R61" s="168">
        <f t="shared" si="25"/>
        <v>1869.08</v>
      </c>
      <c r="S61" s="169">
        <f t="shared" si="26"/>
        <v>2277.88</v>
      </c>
      <c r="T61" s="170">
        <f t="shared" si="27"/>
        <v>30</v>
      </c>
      <c r="U61" s="170">
        <f t="shared" si="28"/>
        <v>1</v>
      </c>
      <c r="V61" s="170">
        <f t="shared" si="29"/>
        <v>0</v>
      </c>
      <c r="W61" s="171">
        <f t="shared" si="30"/>
        <v>207.654788</v>
      </c>
      <c r="X61" s="171">
        <f t="shared" si="31"/>
        <v>253.07246800000001</v>
      </c>
      <c r="Y61" s="171">
        <f t="shared" si="32"/>
        <v>45.417680000000018</v>
      </c>
      <c r="Z61" s="167">
        <f t="shared" si="33"/>
        <v>42370</v>
      </c>
      <c r="AA61" s="167">
        <f t="shared" si="34"/>
        <v>42399</v>
      </c>
      <c r="AB61" s="168">
        <f t="shared" si="35"/>
        <v>1869.08</v>
      </c>
      <c r="AC61" s="169">
        <f t="shared" si="36"/>
        <v>2277.88</v>
      </c>
      <c r="AD61" s="170">
        <f t="shared" si="37"/>
        <v>30</v>
      </c>
      <c r="AE61" s="170">
        <f t="shared" si="38"/>
        <v>1</v>
      </c>
      <c r="AF61" s="170">
        <f t="shared" si="39"/>
        <v>0</v>
      </c>
      <c r="AG61" s="171">
        <f t="shared" si="40"/>
        <v>80.370439999999988</v>
      </c>
      <c r="AH61" s="171">
        <f t="shared" si="41"/>
        <v>97.94883999999999</v>
      </c>
      <c r="AI61" s="171">
        <f t="shared" si="42"/>
        <v>17.578400000000002</v>
      </c>
      <c r="AJ61" s="167">
        <f t="shared" si="43"/>
        <v>42370</v>
      </c>
      <c r="AK61" s="167">
        <f t="shared" si="44"/>
        <v>42399</v>
      </c>
      <c r="AL61" s="168">
        <f t="shared" si="45"/>
        <v>1869.08</v>
      </c>
      <c r="AM61" s="169">
        <f t="shared" si="46"/>
        <v>2277.88</v>
      </c>
      <c r="AN61" s="170">
        <f t="shared" si="47"/>
        <v>30</v>
      </c>
      <c r="AO61" s="170">
        <f t="shared" si="48"/>
        <v>1</v>
      </c>
      <c r="AP61" s="170">
        <f t="shared" si="49"/>
        <v>0</v>
      </c>
      <c r="AQ61" s="171">
        <f t="shared" si="50"/>
        <v>57.295525951999991</v>
      </c>
      <c r="AR61" s="171">
        <f t="shared" si="51"/>
        <v>69.827044672</v>
      </c>
      <c r="AS61" s="171">
        <f t="shared" si="52"/>
        <v>12.531518720000008</v>
      </c>
      <c r="AT61" s="167">
        <f t="shared" si="53"/>
        <v>42370</v>
      </c>
      <c r="AU61" s="167">
        <f t="shared" si="54"/>
        <v>42399</v>
      </c>
      <c r="AV61" s="168">
        <f t="shared" si="55"/>
        <v>1869.08</v>
      </c>
      <c r="AW61" s="169">
        <f t="shared" si="56"/>
        <v>2277.88</v>
      </c>
      <c r="AX61" s="170">
        <f t="shared" si="57"/>
        <v>30</v>
      </c>
      <c r="AY61" s="170">
        <f t="shared" si="58"/>
        <v>1</v>
      </c>
      <c r="AZ61" s="170">
        <f t="shared" si="59"/>
        <v>0</v>
      </c>
      <c r="BA61" s="171">
        <f t="shared" si="60"/>
        <v>76.416961983999997</v>
      </c>
      <c r="BB61" s="171">
        <f t="shared" si="61"/>
        <v>93.130668224000004</v>
      </c>
      <c r="BC61" s="171">
        <f t="shared" si="62"/>
        <v>16.713706240000008</v>
      </c>
      <c r="BD61" s="171">
        <f t="shared" si="63"/>
        <v>126.29434496000007</v>
      </c>
    </row>
    <row r="62" spans="1:56">
      <c r="A62" s="587" t="str">
        <f>'BANCO DADOS-CUSTO TOTAL'!C69</f>
        <v>Conselheiro Lafaiete</v>
      </c>
      <c r="B62" s="588" t="str">
        <f>'BANCO DADOS-CUSTO TOTAL'!H69</f>
        <v>BELTRANO 12388</v>
      </c>
      <c r="C62" s="588" t="str">
        <f>'BANCO DADOS-CUSTO TOTAL'!I69</f>
        <v>VIGILANTE ARMADO - 12X36 DIURNO</v>
      </c>
      <c r="D62" s="172"/>
      <c r="E62" s="172"/>
      <c r="F62" s="167">
        <v>42370</v>
      </c>
      <c r="G62" s="167">
        <v>42399</v>
      </c>
      <c r="H62" s="168">
        <f t="shared" si="16"/>
        <v>1869.08</v>
      </c>
      <c r="I62" s="169">
        <f>'BANCO DADOS-CUSTO TOTAL'!Y69</f>
        <v>2277.88</v>
      </c>
      <c r="J62" s="170">
        <f t="shared" si="17"/>
        <v>30</v>
      </c>
      <c r="K62" s="170">
        <f t="shared" si="18"/>
        <v>1</v>
      </c>
      <c r="L62" s="170">
        <f t="shared" si="19"/>
        <v>0</v>
      </c>
      <c r="M62" s="171">
        <f t="shared" si="20"/>
        <v>155.69436399999998</v>
      </c>
      <c r="N62" s="171">
        <f t="shared" si="21"/>
        <v>189.74740400000002</v>
      </c>
      <c r="O62" s="171">
        <f t="shared" si="22"/>
        <v>34.053040000000038</v>
      </c>
      <c r="P62" s="167">
        <f t="shared" si="23"/>
        <v>42370</v>
      </c>
      <c r="Q62" s="167">
        <f t="shared" si="24"/>
        <v>42399</v>
      </c>
      <c r="R62" s="168">
        <f t="shared" si="25"/>
        <v>1869.08</v>
      </c>
      <c r="S62" s="169">
        <f t="shared" si="26"/>
        <v>2277.88</v>
      </c>
      <c r="T62" s="170">
        <f t="shared" si="27"/>
        <v>30</v>
      </c>
      <c r="U62" s="170">
        <f t="shared" si="28"/>
        <v>1</v>
      </c>
      <c r="V62" s="170">
        <f t="shared" si="29"/>
        <v>0</v>
      </c>
      <c r="W62" s="171">
        <f t="shared" si="30"/>
        <v>207.654788</v>
      </c>
      <c r="X62" s="171">
        <f t="shared" si="31"/>
        <v>253.07246800000001</v>
      </c>
      <c r="Y62" s="171">
        <f t="shared" si="32"/>
        <v>45.417680000000018</v>
      </c>
      <c r="Z62" s="167">
        <f t="shared" si="33"/>
        <v>42370</v>
      </c>
      <c r="AA62" s="167">
        <f t="shared" si="34"/>
        <v>42399</v>
      </c>
      <c r="AB62" s="168">
        <f t="shared" si="35"/>
        <v>1869.08</v>
      </c>
      <c r="AC62" s="169">
        <f t="shared" si="36"/>
        <v>2277.88</v>
      </c>
      <c r="AD62" s="170">
        <f t="shared" si="37"/>
        <v>30</v>
      </c>
      <c r="AE62" s="170">
        <f t="shared" si="38"/>
        <v>1</v>
      </c>
      <c r="AF62" s="170">
        <f t="shared" si="39"/>
        <v>0</v>
      </c>
      <c r="AG62" s="171">
        <f t="shared" si="40"/>
        <v>80.370439999999988</v>
      </c>
      <c r="AH62" s="171">
        <f t="shared" si="41"/>
        <v>97.94883999999999</v>
      </c>
      <c r="AI62" s="171">
        <f t="shared" si="42"/>
        <v>17.578400000000002</v>
      </c>
      <c r="AJ62" s="167">
        <f t="shared" si="43"/>
        <v>42370</v>
      </c>
      <c r="AK62" s="167">
        <f t="shared" si="44"/>
        <v>42399</v>
      </c>
      <c r="AL62" s="168">
        <f t="shared" si="45"/>
        <v>1869.08</v>
      </c>
      <c r="AM62" s="169">
        <f t="shared" si="46"/>
        <v>2277.88</v>
      </c>
      <c r="AN62" s="170">
        <f t="shared" si="47"/>
        <v>30</v>
      </c>
      <c r="AO62" s="170">
        <f t="shared" si="48"/>
        <v>1</v>
      </c>
      <c r="AP62" s="170">
        <f t="shared" si="49"/>
        <v>0</v>
      </c>
      <c r="AQ62" s="171">
        <f t="shared" si="50"/>
        <v>57.295525951999991</v>
      </c>
      <c r="AR62" s="171">
        <f t="shared" si="51"/>
        <v>69.827044672</v>
      </c>
      <c r="AS62" s="171">
        <f t="shared" si="52"/>
        <v>12.531518720000008</v>
      </c>
      <c r="AT62" s="167">
        <f t="shared" si="53"/>
        <v>42370</v>
      </c>
      <c r="AU62" s="167">
        <f t="shared" si="54"/>
        <v>42399</v>
      </c>
      <c r="AV62" s="168">
        <f t="shared" si="55"/>
        <v>1869.08</v>
      </c>
      <c r="AW62" s="169">
        <f t="shared" si="56"/>
        <v>2277.88</v>
      </c>
      <c r="AX62" s="170">
        <f t="shared" si="57"/>
        <v>30</v>
      </c>
      <c r="AY62" s="170">
        <f t="shared" si="58"/>
        <v>1</v>
      </c>
      <c r="AZ62" s="170">
        <f t="shared" si="59"/>
        <v>0</v>
      </c>
      <c r="BA62" s="171">
        <f t="shared" si="60"/>
        <v>76.416961983999997</v>
      </c>
      <c r="BB62" s="171">
        <f t="shared" si="61"/>
        <v>93.130668224000004</v>
      </c>
      <c r="BC62" s="171">
        <f t="shared" si="62"/>
        <v>16.713706240000008</v>
      </c>
      <c r="BD62" s="171">
        <f t="shared" si="63"/>
        <v>126.29434496000007</v>
      </c>
    </row>
    <row r="63" spans="1:56">
      <c r="A63" s="587" t="str">
        <f>'BANCO DADOS-CUSTO TOTAL'!C71</f>
        <v>Contagem</v>
      </c>
      <c r="B63" s="588" t="str">
        <f>'BANCO DADOS-CUSTO TOTAL'!H71</f>
        <v>BELTRANO 12389</v>
      </c>
      <c r="C63" s="588" t="str">
        <f>'BANCO DADOS-CUSTO TOTAL'!I71</f>
        <v>VIGILANTE ARMADO - 12X36 DIURNO</v>
      </c>
      <c r="D63" s="172"/>
      <c r="E63" s="172"/>
      <c r="F63" s="167">
        <v>42370</v>
      </c>
      <c r="G63" s="167">
        <v>42399</v>
      </c>
      <c r="H63" s="168">
        <f t="shared" si="16"/>
        <v>1869.08</v>
      </c>
      <c r="I63" s="169">
        <f>'BANCO DADOS-CUSTO TOTAL'!Y71</f>
        <v>2277.88</v>
      </c>
      <c r="J63" s="170">
        <f t="shared" si="17"/>
        <v>30</v>
      </c>
      <c r="K63" s="170">
        <f t="shared" si="18"/>
        <v>1</v>
      </c>
      <c r="L63" s="170">
        <f t="shared" si="19"/>
        <v>0</v>
      </c>
      <c r="M63" s="171">
        <f t="shared" si="20"/>
        <v>155.69436399999998</v>
      </c>
      <c r="N63" s="171">
        <f t="shared" si="21"/>
        <v>189.74740400000002</v>
      </c>
      <c r="O63" s="171">
        <f t="shared" si="22"/>
        <v>34.053040000000038</v>
      </c>
      <c r="P63" s="167">
        <f t="shared" si="23"/>
        <v>42370</v>
      </c>
      <c r="Q63" s="167">
        <f t="shared" si="24"/>
        <v>42399</v>
      </c>
      <c r="R63" s="168">
        <f t="shared" si="25"/>
        <v>1869.08</v>
      </c>
      <c r="S63" s="169">
        <f t="shared" si="26"/>
        <v>2277.88</v>
      </c>
      <c r="T63" s="170">
        <f t="shared" si="27"/>
        <v>30</v>
      </c>
      <c r="U63" s="170">
        <f t="shared" si="28"/>
        <v>1</v>
      </c>
      <c r="V63" s="170">
        <f t="shared" si="29"/>
        <v>0</v>
      </c>
      <c r="W63" s="171">
        <f t="shared" si="30"/>
        <v>207.654788</v>
      </c>
      <c r="X63" s="171">
        <f t="shared" si="31"/>
        <v>253.07246800000001</v>
      </c>
      <c r="Y63" s="171">
        <f t="shared" si="32"/>
        <v>45.417680000000018</v>
      </c>
      <c r="Z63" s="167">
        <f t="shared" si="33"/>
        <v>42370</v>
      </c>
      <c r="AA63" s="167">
        <f t="shared" si="34"/>
        <v>42399</v>
      </c>
      <c r="AB63" s="168">
        <f t="shared" si="35"/>
        <v>1869.08</v>
      </c>
      <c r="AC63" s="169">
        <f t="shared" si="36"/>
        <v>2277.88</v>
      </c>
      <c r="AD63" s="170">
        <f t="shared" si="37"/>
        <v>30</v>
      </c>
      <c r="AE63" s="170">
        <f t="shared" si="38"/>
        <v>1</v>
      </c>
      <c r="AF63" s="170">
        <f t="shared" si="39"/>
        <v>0</v>
      </c>
      <c r="AG63" s="171">
        <f t="shared" si="40"/>
        <v>80.370439999999988</v>
      </c>
      <c r="AH63" s="171">
        <f t="shared" si="41"/>
        <v>97.94883999999999</v>
      </c>
      <c r="AI63" s="171">
        <f t="shared" si="42"/>
        <v>17.578400000000002</v>
      </c>
      <c r="AJ63" s="167">
        <f t="shared" si="43"/>
        <v>42370</v>
      </c>
      <c r="AK63" s="167">
        <f t="shared" si="44"/>
        <v>42399</v>
      </c>
      <c r="AL63" s="168">
        <f t="shared" si="45"/>
        <v>1869.08</v>
      </c>
      <c r="AM63" s="169">
        <f t="shared" si="46"/>
        <v>2277.88</v>
      </c>
      <c r="AN63" s="170">
        <f t="shared" si="47"/>
        <v>30</v>
      </c>
      <c r="AO63" s="170">
        <f t="shared" si="48"/>
        <v>1</v>
      </c>
      <c r="AP63" s="170">
        <f t="shared" si="49"/>
        <v>0</v>
      </c>
      <c r="AQ63" s="171">
        <f t="shared" si="50"/>
        <v>57.295525951999991</v>
      </c>
      <c r="AR63" s="171">
        <f t="shared" si="51"/>
        <v>69.827044672</v>
      </c>
      <c r="AS63" s="171">
        <f t="shared" si="52"/>
        <v>12.531518720000008</v>
      </c>
      <c r="AT63" s="167">
        <f t="shared" si="53"/>
        <v>42370</v>
      </c>
      <c r="AU63" s="167">
        <f t="shared" si="54"/>
        <v>42399</v>
      </c>
      <c r="AV63" s="168">
        <f t="shared" si="55"/>
        <v>1869.08</v>
      </c>
      <c r="AW63" s="169">
        <f t="shared" si="56"/>
        <v>2277.88</v>
      </c>
      <c r="AX63" s="170">
        <f t="shared" si="57"/>
        <v>30</v>
      </c>
      <c r="AY63" s="170">
        <f t="shared" si="58"/>
        <v>1</v>
      </c>
      <c r="AZ63" s="170">
        <f t="shared" si="59"/>
        <v>0</v>
      </c>
      <c r="BA63" s="171">
        <f t="shared" si="60"/>
        <v>76.416961983999997</v>
      </c>
      <c r="BB63" s="171">
        <f t="shared" si="61"/>
        <v>93.130668224000004</v>
      </c>
      <c r="BC63" s="171">
        <f t="shared" si="62"/>
        <v>16.713706240000008</v>
      </c>
      <c r="BD63" s="171">
        <f t="shared" si="63"/>
        <v>126.29434496000007</v>
      </c>
    </row>
    <row r="64" spans="1:56">
      <c r="A64" s="587" t="str">
        <f>'BANCO DADOS-CUSTO TOTAL'!C72</f>
        <v>Contagem</v>
      </c>
      <c r="B64" s="588" t="str">
        <f>'BANCO DADOS-CUSTO TOTAL'!H72</f>
        <v>BELTRANO 123166</v>
      </c>
      <c r="C64" s="588" t="str">
        <f>'BANCO DADOS-CUSTO TOTAL'!I72</f>
        <v>VIGILANTE ARMADO - 12X36 DIURNO</v>
      </c>
      <c r="D64" s="172"/>
      <c r="E64" s="172"/>
      <c r="F64" s="167">
        <v>42370</v>
      </c>
      <c r="G64" s="167">
        <v>42399</v>
      </c>
      <c r="H64" s="168">
        <f t="shared" si="16"/>
        <v>1869.08</v>
      </c>
      <c r="I64" s="169">
        <f>'BANCO DADOS-CUSTO TOTAL'!Y72</f>
        <v>2277.88</v>
      </c>
      <c r="J64" s="170">
        <f t="shared" si="17"/>
        <v>30</v>
      </c>
      <c r="K64" s="170">
        <f t="shared" si="18"/>
        <v>1</v>
      </c>
      <c r="L64" s="170">
        <f t="shared" si="19"/>
        <v>0</v>
      </c>
      <c r="M64" s="171">
        <f t="shared" si="20"/>
        <v>155.69436399999998</v>
      </c>
      <c r="N64" s="171">
        <f t="shared" si="21"/>
        <v>189.74740400000002</v>
      </c>
      <c r="O64" s="171">
        <f t="shared" si="22"/>
        <v>34.053040000000038</v>
      </c>
      <c r="P64" s="167">
        <f t="shared" si="23"/>
        <v>42370</v>
      </c>
      <c r="Q64" s="167">
        <f t="shared" si="24"/>
        <v>42399</v>
      </c>
      <c r="R64" s="168">
        <f t="shared" si="25"/>
        <v>1869.08</v>
      </c>
      <c r="S64" s="169">
        <f t="shared" si="26"/>
        <v>2277.88</v>
      </c>
      <c r="T64" s="170">
        <f t="shared" si="27"/>
        <v>30</v>
      </c>
      <c r="U64" s="170">
        <f t="shared" si="28"/>
        <v>1</v>
      </c>
      <c r="V64" s="170">
        <f t="shared" si="29"/>
        <v>0</v>
      </c>
      <c r="W64" s="171">
        <f t="shared" si="30"/>
        <v>207.654788</v>
      </c>
      <c r="X64" s="171">
        <f t="shared" si="31"/>
        <v>253.07246800000001</v>
      </c>
      <c r="Y64" s="171">
        <f t="shared" si="32"/>
        <v>45.417680000000018</v>
      </c>
      <c r="Z64" s="167">
        <f t="shared" si="33"/>
        <v>42370</v>
      </c>
      <c r="AA64" s="167">
        <f t="shared" si="34"/>
        <v>42399</v>
      </c>
      <c r="AB64" s="168">
        <f t="shared" si="35"/>
        <v>1869.08</v>
      </c>
      <c r="AC64" s="169">
        <f t="shared" si="36"/>
        <v>2277.88</v>
      </c>
      <c r="AD64" s="170">
        <f t="shared" si="37"/>
        <v>30</v>
      </c>
      <c r="AE64" s="170">
        <f t="shared" si="38"/>
        <v>1</v>
      </c>
      <c r="AF64" s="170">
        <f t="shared" si="39"/>
        <v>0</v>
      </c>
      <c r="AG64" s="171">
        <f t="shared" si="40"/>
        <v>80.370439999999988</v>
      </c>
      <c r="AH64" s="171">
        <f t="shared" si="41"/>
        <v>97.94883999999999</v>
      </c>
      <c r="AI64" s="171">
        <f t="shared" si="42"/>
        <v>17.578400000000002</v>
      </c>
      <c r="AJ64" s="167">
        <f t="shared" si="43"/>
        <v>42370</v>
      </c>
      <c r="AK64" s="167">
        <f t="shared" si="44"/>
        <v>42399</v>
      </c>
      <c r="AL64" s="168">
        <f t="shared" si="45"/>
        <v>1869.08</v>
      </c>
      <c r="AM64" s="169">
        <f t="shared" si="46"/>
        <v>2277.88</v>
      </c>
      <c r="AN64" s="170">
        <f t="shared" si="47"/>
        <v>30</v>
      </c>
      <c r="AO64" s="170">
        <f t="shared" si="48"/>
        <v>1</v>
      </c>
      <c r="AP64" s="170">
        <f t="shared" si="49"/>
        <v>0</v>
      </c>
      <c r="AQ64" s="171">
        <f t="shared" si="50"/>
        <v>57.295525951999991</v>
      </c>
      <c r="AR64" s="171">
        <f t="shared" si="51"/>
        <v>69.827044672</v>
      </c>
      <c r="AS64" s="171">
        <f t="shared" si="52"/>
        <v>12.531518720000008</v>
      </c>
      <c r="AT64" s="167">
        <f t="shared" si="53"/>
        <v>42370</v>
      </c>
      <c r="AU64" s="167">
        <f t="shared" si="54"/>
        <v>42399</v>
      </c>
      <c r="AV64" s="168">
        <f t="shared" si="55"/>
        <v>1869.08</v>
      </c>
      <c r="AW64" s="169">
        <f t="shared" si="56"/>
        <v>2277.88</v>
      </c>
      <c r="AX64" s="170">
        <f t="shared" si="57"/>
        <v>30</v>
      </c>
      <c r="AY64" s="170">
        <f t="shared" si="58"/>
        <v>1</v>
      </c>
      <c r="AZ64" s="170">
        <f t="shared" si="59"/>
        <v>0</v>
      </c>
      <c r="BA64" s="171">
        <f t="shared" si="60"/>
        <v>76.416961983999997</v>
      </c>
      <c r="BB64" s="171">
        <f t="shared" si="61"/>
        <v>93.130668224000004</v>
      </c>
      <c r="BC64" s="171">
        <f t="shared" si="62"/>
        <v>16.713706240000008</v>
      </c>
      <c r="BD64" s="171">
        <f t="shared" si="63"/>
        <v>126.29434496000007</v>
      </c>
    </row>
    <row r="65" spans="1:56">
      <c r="A65" s="587" t="str">
        <f>'BANCO DADOS-CUSTO TOTAL'!C73</f>
        <v>Contagem</v>
      </c>
      <c r="B65" s="588" t="str">
        <f>'BANCO DADOS-CUSTO TOTAL'!H73</f>
        <v>BELTRANO 12390</v>
      </c>
      <c r="C65" s="588" t="str">
        <f>'BANCO DADOS-CUSTO TOTAL'!I73</f>
        <v>VIGILANTE ARMADO - 12X36 DIURNO</v>
      </c>
      <c r="D65" s="172"/>
      <c r="E65" s="172"/>
      <c r="F65" s="167">
        <v>42370</v>
      </c>
      <c r="G65" s="167">
        <v>42399</v>
      </c>
      <c r="H65" s="168">
        <f t="shared" si="16"/>
        <v>1869.08</v>
      </c>
      <c r="I65" s="169">
        <f>'BANCO DADOS-CUSTO TOTAL'!Y73</f>
        <v>2277.88</v>
      </c>
      <c r="J65" s="170">
        <f t="shared" si="17"/>
        <v>30</v>
      </c>
      <c r="K65" s="170">
        <f t="shared" si="18"/>
        <v>1</v>
      </c>
      <c r="L65" s="170">
        <f t="shared" si="19"/>
        <v>0</v>
      </c>
      <c r="M65" s="171">
        <f t="shared" si="20"/>
        <v>155.69436399999998</v>
      </c>
      <c r="N65" s="171">
        <f t="shared" si="21"/>
        <v>189.74740400000002</v>
      </c>
      <c r="O65" s="171">
        <f t="shared" si="22"/>
        <v>34.053040000000038</v>
      </c>
      <c r="P65" s="167">
        <f t="shared" si="23"/>
        <v>42370</v>
      </c>
      <c r="Q65" s="167">
        <f t="shared" si="24"/>
        <v>42399</v>
      </c>
      <c r="R65" s="168">
        <f t="shared" si="25"/>
        <v>1869.08</v>
      </c>
      <c r="S65" s="169">
        <f t="shared" si="26"/>
        <v>2277.88</v>
      </c>
      <c r="T65" s="170">
        <f t="shared" si="27"/>
        <v>30</v>
      </c>
      <c r="U65" s="170">
        <f t="shared" si="28"/>
        <v>1</v>
      </c>
      <c r="V65" s="170">
        <f t="shared" si="29"/>
        <v>0</v>
      </c>
      <c r="W65" s="171">
        <f t="shared" si="30"/>
        <v>207.654788</v>
      </c>
      <c r="X65" s="171">
        <f t="shared" si="31"/>
        <v>253.07246800000001</v>
      </c>
      <c r="Y65" s="171">
        <f t="shared" si="32"/>
        <v>45.417680000000018</v>
      </c>
      <c r="Z65" s="167">
        <f t="shared" si="33"/>
        <v>42370</v>
      </c>
      <c r="AA65" s="167">
        <f t="shared" si="34"/>
        <v>42399</v>
      </c>
      <c r="AB65" s="168">
        <f t="shared" si="35"/>
        <v>1869.08</v>
      </c>
      <c r="AC65" s="169">
        <f t="shared" si="36"/>
        <v>2277.88</v>
      </c>
      <c r="AD65" s="170">
        <f t="shared" si="37"/>
        <v>30</v>
      </c>
      <c r="AE65" s="170">
        <f t="shared" si="38"/>
        <v>1</v>
      </c>
      <c r="AF65" s="170">
        <f t="shared" si="39"/>
        <v>0</v>
      </c>
      <c r="AG65" s="171">
        <f t="shared" si="40"/>
        <v>80.370439999999988</v>
      </c>
      <c r="AH65" s="171">
        <f t="shared" si="41"/>
        <v>97.94883999999999</v>
      </c>
      <c r="AI65" s="171">
        <f t="shared" si="42"/>
        <v>17.578400000000002</v>
      </c>
      <c r="AJ65" s="167">
        <f t="shared" si="43"/>
        <v>42370</v>
      </c>
      <c r="AK65" s="167">
        <f t="shared" si="44"/>
        <v>42399</v>
      </c>
      <c r="AL65" s="168">
        <f t="shared" si="45"/>
        <v>1869.08</v>
      </c>
      <c r="AM65" s="169">
        <f t="shared" si="46"/>
        <v>2277.88</v>
      </c>
      <c r="AN65" s="170">
        <f t="shared" si="47"/>
        <v>30</v>
      </c>
      <c r="AO65" s="170">
        <f t="shared" si="48"/>
        <v>1</v>
      </c>
      <c r="AP65" s="170">
        <f t="shared" si="49"/>
        <v>0</v>
      </c>
      <c r="AQ65" s="171">
        <f t="shared" si="50"/>
        <v>57.295525951999991</v>
      </c>
      <c r="AR65" s="171">
        <f t="shared" si="51"/>
        <v>69.827044672</v>
      </c>
      <c r="AS65" s="171">
        <f t="shared" si="52"/>
        <v>12.531518720000008</v>
      </c>
      <c r="AT65" s="167">
        <f t="shared" si="53"/>
        <v>42370</v>
      </c>
      <c r="AU65" s="167">
        <f t="shared" si="54"/>
        <v>42399</v>
      </c>
      <c r="AV65" s="168">
        <f t="shared" si="55"/>
        <v>1869.08</v>
      </c>
      <c r="AW65" s="169">
        <f t="shared" si="56"/>
        <v>2277.88</v>
      </c>
      <c r="AX65" s="170">
        <f t="shared" si="57"/>
        <v>30</v>
      </c>
      <c r="AY65" s="170">
        <f t="shared" si="58"/>
        <v>1</v>
      </c>
      <c r="AZ65" s="170">
        <f t="shared" si="59"/>
        <v>0</v>
      </c>
      <c r="BA65" s="171">
        <f t="shared" si="60"/>
        <v>76.416961983999997</v>
      </c>
      <c r="BB65" s="171">
        <f t="shared" si="61"/>
        <v>93.130668224000004</v>
      </c>
      <c r="BC65" s="171">
        <f t="shared" si="62"/>
        <v>16.713706240000008</v>
      </c>
      <c r="BD65" s="171">
        <f t="shared" si="63"/>
        <v>126.29434496000007</v>
      </c>
    </row>
    <row r="66" spans="1:56">
      <c r="A66" s="587" t="str">
        <f>'BANCO DADOS-CUSTO TOTAL'!C74</f>
        <v>Contagem</v>
      </c>
      <c r="B66" s="588" t="str">
        <f>'BANCO DADOS-CUSTO TOTAL'!H74</f>
        <v>BELTRANO 12391</v>
      </c>
      <c r="C66" s="588" t="str">
        <f>'BANCO DADOS-CUSTO TOTAL'!I74</f>
        <v>VIGILANTE ARMADO - 12X36 NOTURNO</v>
      </c>
      <c r="D66" s="172"/>
      <c r="E66" s="172"/>
      <c r="F66" s="167">
        <v>42370</v>
      </c>
      <c r="G66" s="167">
        <v>42399</v>
      </c>
      <c r="H66" s="168">
        <f t="shared" si="16"/>
        <v>2229.92</v>
      </c>
      <c r="I66" s="169">
        <f>'BANCO DADOS-CUSTO TOTAL'!Y74</f>
        <v>2717.9</v>
      </c>
      <c r="J66" s="170">
        <f t="shared" si="17"/>
        <v>30</v>
      </c>
      <c r="K66" s="170">
        <f t="shared" si="18"/>
        <v>1</v>
      </c>
      <c r="L66" s="170">
        <f t="shared" si="19"/>
        <v>0</v>
      </c>
      <c r="M66" s="171">
        <f t="shared" si="20"/>
        <v>185.75233600000001</v>
      </c>
      <c r="N66" s="171">
        <f t="shared" si="21"/>
        <v>226.40107</v>
      </c>
      <c r="O66" s="171">
        <f t="shared" si="22"/>
        <v>40.64873399999999</v>
      </c>
      <c r="P66" s="167">
        <f t="shared" si="23"/>
        <v>42370</v>
      </c>
      <c r="Q66" s="167">
        <f t="shared" si="24"/>
        <v>42399</v>
      </c>
      <c r="R66" s="168">
        <f t="shared" si="25"/>
        <v>2229.92</v>
      </c>
      <c r="S66" s="169">
        <f t="shared" si="26"/>
        <v>2717.9</v>
      </c>
      <c r="T66" s="170">
        <f t="shared" si="27"/>
        <v>30</v>
      </c>
      <c r="U66" s="170">
        <f t="shared" si="28"/>
        <v>1</v>
      </c>
      <c r="V66" s="170">
        <f t="shared" si="29"/>
        <v>0</v>
      </c>
      <c r="W66" s="171">
        <f t="shared" si="30"/>
        <v>247.74411200000003</v>
      </c>
      <c r="X66" s="171">
        <f t="shared" si="31"/>
        <v>301.95869000000005</v>
      </c>
      <c r="Y66" s="171">
        <f t="shared" si="32"/>
        <v>54.214578000000017</v>
      </c>
      <c r="Z66" s="167">
        <f t="shared" si="33"/>
        <v>42370</v>
      </c>
      <c r="AA66" s="167">
        <f t="shared" si="34"/>
        <v>42399</v>
      </c>
      <c r="AB66" s="168">
        <f t="shared" si="35"/>
        <v>2229.92</v>
      </c>
      <c r="AC66" s="169">
        <f t="shared" si="36"/>
        <v>2717.9</v>
      </c>
      <c r="AD66" s="170">
        <f t="shared" si="37"/>
        <v>30</v>
      </c>
      <c r="AE66" s="170">
        <f t="shared" si="38"/>
        <v>1</v>
      </c>
      <c r="AF66" s="170">
        <f t="shared" si="39"/>
        <v>0</v>
      </c>
      <c r="AG66" s="171">
        <f t="shared" si="40"/>
        <v>95.886559999999989</v>
      </c>
      <c r="AH66" s="171">
        <f t="shared" si="41"/>
        <v>116.86969999999999</v>
      </c>
      <c r="AI66" s="171">
        <f t="shared" si="42"/>
        <v>20.983140000000006</v>
      </c>
      <c r="AJ66" s="167">
        <f t="shared" si="43"/>
        <v>42370</v>
      </c>
      <c r="AK66" s="167">
        <f t="shared" si="44"/>
        <v>42399</v>
      </c>
      <c r="AL66" s="168">
        <f t="shared" si="45"/>
        <v>2229.92</v>
      </c>
      <c r="AM66" s="169">
        <f t="shared" si="46"/>
        <v>2717.9</v>
      </c>
      <c r="AN66" s="170">
        <f t="shared" si="47"/>
        <v>30</v>
      </c>
      <c r="AO66" s="170">
        <f t="shared" si="48"/>
        <v>1</v>
      </c>
      <c r="AP66" s="170">
        <f t="shared" si="49"/>
        <v>0</v>
      </c>
      <c r="AQ66" s="171">
        <f t="shared" si="50"/>
        <v>68.356859647999997</v>
      </c>
      <c r="AR66" s="171">
        <f t="shared" si="51"/>
        <v>83.315593759999999</v>
      </c>
      <c r="AS66" s="171">
        <f t="shared" si="52"/>
        <v>14.958734112000002</v>
      </c>
      <c r="AT66" s="167">
        <f t="shared" si="53"/>
        <v>42370</v>
      </c>
      <c r="AU66" s="167">
        <f t="shared" si="54"/>
        <v>42399</v>
      </c>
      <c r="AV66" s="168">
        <f t="shared" si="55"/>
        <v>2229.92</v>
      </c>
      <c r="AW66" s="169">
        <f t="shared" si="56"/>
        <v>2717.9</v>
      </c>
      <c r="AX66" s="170">
        <f t="shared" si="57"/>
        <v>30</v>
      </c>
      <c r="AY66" s="170">
        <f t="shared" si="58"/>
        <v>1</v>
      </c>
      <c r="AZ66" s="170">
        <f t="shared" si="59"/>
        <v>0</v>
      </c>
      <c r="BA66" s="171">
        <f t="shared" si="60"/>
        <v>91.169833216000001</v>
      </c>
      <c r="BB66" s="171">
        <f t="shared" si="61"/>
        <v>111.12079792</v>
      </c>
      <c r="BC66" s="171">
        <f t="shared" si="62"/>
        <v>19.950964704</v>
      </c>
      <c r="BD66" s="171">
        <f t="shared" si="63"/>
        <v>150.756150816</v>
      </c>
    </row>
    <row r="67" spans="1:56">
      <c r="A67" s="587" t="str">
        <f>'BANCO DADOS-CUSTO TOTAL'!C75</f>
        <v>Contagem</v>
      </c>
      <c r="B67" s="588" t="str">
        <f>'BANCO DADOS-CUSTO TOTAL'!H75</f>
        <v>BELTRANO 12392</v>
      </c>
      <c r="C67" s="588" t="str">
        <f>'BANCO DADOS-CUSTO TOTAL'!I75</f>
        <v>VIGILANTE ARMADO - 12X36 NOTURNO</v>
      </c>
      <c r="D67" s="172"/>
      <c r="E67" s="172"/>
      <c r="F67" s="167">
        <v>42370</v>
      </c>
      <c r="G67" s="167">
        <v>42399</v>
      </c>
      <c r="H67" s="168">
        <f t="shared" si="16"/>
        <v>2229.92</v>
      </c>
      <c r="I67" s="169">
        <f>'BANCO DADOS-CUSTO TOTAL'!Y75</f>
        <v>2717.9</v>
      </c>
      <c r="J67" s="170">
        <f t="shared" si="17"/>
        <v>30</v>
      </c>
      <c r="K67" s="170">
        <f t="shared" si="18"/>
        <v>1</v>
      </c>
      <c r="L67" s="170">
        <f t="shared" si="19"/>
        <v>0</v>
      </c>
      <c r="M67" s="171">
        <f t="shared" si="20"/>
        <v>185.75233600000001</v>
      </c>
      <c r="N67" s="171">
        <f t="shared" si="21"/>
        <v>226.40107</v>
      </c>
      <c r="O67" s="171">
        <f t="shared" si="22"/>
        <v>40.64873399999999</v>
      </c>
      <c r="P67" s="167">
        <f t="shared" si="23"/>
        <v>42370</v>
      </c>
      <c r="Q67" s="167">
        <f t="shared" si="24"/>
        <v>42399</v>
      </c>
      <c r="R67" s="168">
        <f t="shared" si="25"/>
        <v>2229.92</v>
      </c>
      <c r="S67" s="169">
        <f t="shared" si="26"/>
        <v>2717.9</v>
      </c>
      <c r="T67" s="170">
        <f t="shared" si="27"/>
        <v>30</v>
      </c>
      <c r="U67" s="170">
        <f t="shared" si="28"/>
        <v>1</v>
      </c>
      <c r="V67" s="170">
        <f t="shared" si="29"/>
        <v>0</v>
      </c>
      <c r="W67" s="171">
        <f t="shared" si="30"/>
        <v>247.74411200000003</v>
      </c>
      <c r="X67" s="171">
        <f t="shared" si="31"/>
        <v>301.95869000000005</v>
      </c>
      <c r="Y67" s="171">
        <f t="shared" si="32"/>
        <v>54.214578000000017</v>
      </c>
      <c r="Z67" s="167">
        <f t="shared" si="33"/>
        <v>42370</v>
      </c>
      <c r="AA67" s="167">
        <f t="shared" si="34"/>
        <v>42399</v>
      </c>
      <c r="AB67" s="168">
        <f t="shared" si="35"/>
        <v>2229.92</v>
      </c>
      <c r="AC67" s="169">
        <f t="shared" si="36"/>
        <v>2717.9</v>
      </c>
      <c r="AD67" s="170">
        <f t="shared" si="37"/>
        <v>30</v>
      </c>
      <c r="AE67" s="170">
        <f t="shared" si="38"/>
        <v>1</v>
      </c>
      <c r="AF67" s="170">
        <f t="shared" si="39"/>
        <v>0</v>
      </c>
      <c r="AG67" s="171">
        <f t="shared" si="40"/>
        <v>95.886559999999989</v>
      </c>
      <c r="AH67" s="171">
        <f t="shared" si="41"/>
        <v>116.86969999999999</v>
      </c>
      <c r="AI67" s="171">
        <f t="shared" si="42"/>
        <v>20.983140000000006</v>
      </c>
      <c r="AJ67" s="167">
        <f t="shared" si="43"/>
        <v>42370</v>
      </c>
      <c r="AK67" s="167">
        <f t="shared" si="44"/>
        <v>42399</v>
      </c>
      <c r="AL67" s="168">
        <f t="shared" si="45"/>
        <v>2229.92</v>
      </c>
      <c r="AM67" s="169">
        <f t="shared" si="46"/>
        <v>2717.9</v>
      </c>
      <c r="AN67" s="170">
        <f t="shared" si="47"/>
        <v>30</v>
      </c>
      <c r="AO67" s="170">
        <f t="shared" si="48"/>
        <v>1</v>
      </c>
      <c r="AP67" s="170">
        <f t="shared" si="49"/>
        <v>0</v>
      </c>
      <c r="AQ67" s="171">
        <f t="shared" si="50"/>
        <v>68.356859647999997</v>
      </c>
      <c r="AR67" s="171">
        <f t="shared" si="51"/>
        <v>83.315593759999999</v>
      </c>
      <c r="AS67" s="171">
        <f t="shared" si="52"/>
        <v>14.958734112000002</v>
      </c>
      <c r="AT67" s="167">
        <f t="shared" si="53"/>
        <v>42370</v>
      </c>
      <c r="AU67" s="167">
        <f t="shared" si="54"/>
        <v>42399</v>
      </c>
      <c r="AV67" s="168">
        <f t="shared" si="55"/>
        <v>2229.92</v>
      </c>
      <c r="AW67" s="169">
        <f t="shared" si="56"/>
        <v>2717.9</v>
      </c>
      <c r="AX67" s="170">
        <f t="shared" si="57"/>
        <v>30</v>
      </c>
      <c r="AY67" s="170">
        <f t="shared" si="58"/>
        <v>1</v>
      </c>
      <c r="AZ67" s="170">
        <f t="shared" si="59"/>
        <v>0</v>
      </c>
      <c r="BA67" s="171">
        <f t="shared" si="60"/>
        <v>91.169833216000001</v>
      </c>
      <c r="BB67" s="171">
        <f t="shared" si="61"/>
        <v>111.12079792</v>
      </c>
      <c r="BC67" s="171">
        <f t="shared" si="62"/>
        <v>19.950964704</v>
      </c>
      <c r="BD67" s="171">
        <f t="shared" si="63"/>
        <v>150.756150816</v>
      </c>
    </row>
    <row r="68" spans="1:56">
      <c r="A68" s="587" t="str">
        <f>'BANCO DADOS-CUSTO TOTAL'!C77</f>
        <v>Formiga</v>
      </c>
      <c r="B68" s="588" t="str">
        <f>'BANCO DADOS-CUSTO TOTAL'!H77</f>
        <v>BELTRANO 12393</v>
      </c>
      <c r="C68" s="588" t="str">
        <f>'BANCO DADOS-CUSTO TOTAL'!I77</f>
        <v>VIGILANTE ARMADO - 220 H</v>
      </c>
      <c r="D68" s="172"/>
      <c r="E68" s="172"/>
      <c r="F68" s="167">
        <v>42370</v>
      </c>
      <c r="G68" s="167">
        <v>42399</v>
      </c>
      <c r="H68" s="168">
        <f t="shared" ref="H68:H112" si="64">IF(C68="VIGILANTE ARMADO - 220 H",2035.8,IF(C68="VIGILANTE ARMADO - 12X36 DIURNO",1869.08,IF(C68="VIGILANTE ARMADO - 12X36 NOTURNO",2229.92)))</f>
        <v>2035.8</v>
      </c>
      <c r="I68" s="169">
        <f>'BANCO DADOS-CUSTO TOTAL'!Y77</f>
        <v>2287.0300000000002</v>
      </c>
      <c r="J68" s="170">
        <f t="shared" ref="J68:J112" si="65">IF(OR(F68="",G68=""),0,DAYS360(F68,G68,TRUE)+1)</f>
        <v>30</v>
      </c>
      <c r="K68" s="170">
        <f t="shared" ref="K68:K112" si="66">INT(J68/30)</f>
        <v>1</v>
      </c>
      <c r="L68" s="170">
        <f t="shared" ref="L68:L112" si="67">J68-K68*30</f>
        <v>0</v>
      </c>
      <c r="M68" s="171">
        <f t="shared" ref="M68:M112" si="68">$O$6*H68*K68+IF(L68&gt;14,H68*$O$6,0)</f>
        <v>169.58213999999998</v>
      </c>
      <c r="N68" s="171">
        <f t="shared" ref="N68:N112" si="69">I68*K68*$O$6+IF(L68&gt;14,I68*$O$6,0)</f>
        <v>190.50959900000001</v>
      </c>
      <c r="O68" s="171">
        <f t="shared" ref="O68:O112" si="70">N68-M68</f>
        <v>20.927459000000027</v>
      </c>
      <c r="P68" s="167">
        <f t="shared" si="23"/>
        <v>42370</v>
      </c>
      <c r="Q68" s="167">
        <f t="shared" si="24"/>
        <v>42399</v>
      </c>
      <c r="R68" s="168">
        <f t="shared" ref="R68:R112" si="71">H68</f>
        <v>2035.8</v>
      </c>
      <c r="S68" s="169">
        <f t="shared" ref="S68:S112" si="72">I68</f>
        <v>2287.0300000000002</v>
      </c>
      <c r="T68" s="170">
        <f t="shared" ref="T68:T112" si="73">IF(OR(P68="",Q68=""),0,DAYS360(P68,Q68,TRUE)+1)</f>
        <v>30</v>
      </c>
      <c r="U68" s="170">
        <f t="shared" ref="U68:U112" si="74">INT(T68/30)</f>
        <v>1</v>
      </c>
      <c r="V68" s="170">
        <f t="shared" ref="V68:V112" si="75">T68-U68*30</f>
        <v>0</v>
      </c>
      <c r="W68" s="171">
        <f t="shared" ref="W68:W112" si="76">$Y$6*R68*U68+IF(V68&gt;14,R68*$Y$6,0)</f>
        <v>226.17738</v>
      </c>
      <c r="X68" s="171">
        <f t="shared" ref="X68:X112" si="77">S68*U68*$Y$6+IF(V68&gt;14,S68*$Y$6,0)</f>
        <v>254.08903300000003</v>
      </c>
      <c r="Y68" s="171">
        <f t="shared" ref="Y68:Y112" si="78">X68-W68</f>
        <v>27.91165300000003</v>
      </c>
      <c r="Z68" s="167">
        <f t="shared" si="33"/>
        <v>42370</v>
      </c>
      <c r="AA68" s="167">
        <f t="shared" si="34"/>
        <v>42399</v>
      </c>
      <c r="AB68" s="168">
        <f t="shared" ref="AB68:AB112" si="79">R68</f>
        <v>2035.8</v>
      </c>
      <c r="AC68" s="169">
        <f t="shared" ref="AC68:AC112" si="80">S68</f>
        <v>2287.0300000000002</v>
      </c>
      <c r="AD68" s="170">
        <f t="shared" ref="AD68:AD112" si="81">IF(OR(Z68="",AA68=""),0,DAYS360(Z68,AA68,TRUE)+1)</f>
        <v>30</v>
      </c>
      <c r="AE68" s="170">
        <f t="shared" ref="AE68:AE112" si="82">INT(AD68/30)</f>
        <v>1</v>
      </c>
      <c r="AF68" s="170">
        <f t="shared" ref="AF68:AF112" si="83">AD68-AE68*30</f>
        <v>0</v>
      </c>
      <c r="AG68" s="171">
        <f t="shared" ref="AG68:AG112" si="84">$AI$6*AB68*AE68+IF(AF68&gt;14,AB68*$AI$6,0)</f>
        <v>87.539399999999986</v>
      </c>
      <c r="AH68" s="171">
        <f t="shared" ref="AH68:AH112" si="85">AC68*AE68*$AI$6+IF(AF68&gt;14,AC68*$AI$6,0)</f>
        <v>98.342290000000006</v>
      </c>
      <c r="AI68" s="171">
        <f t="shared" ref="AI68:AI112" si="86">AH68-AG68</f>
        <v>10.802890000000019</v>
      </c>
      <c r="AJ68" s="167">
        <f t="shared" si="43"/>
        <v>42370</v>
      </c>
      <c r="AK68" s="167">
        <f t="shared" si="44"/>
        <v>42399</v>
      </c>
      <c r="AL68" s="168">
        <f t="shared" ref="AL68:AL112" si="87">AB68</f>
        <v>2035.8</v>
      </c>
      <c r="AM68" s="169">
        <f t="shared" ref="AM68:AM112" si="88">AC68</f>
        <v>2287.0300000000002</v>
      </c>
      <c r="AN68" s="170">
        <f t="shared" ref="AN68:AN112" si="89">IF(OR(AJ68="",AK68=""),0,DAYS360(AJ68,AK68,TRUE)+1)</f>
        <v>30</v>
      </c>
      <c r="AO68" s="170">
        <f t="shared" ref="AO68:AO112" si="90">INT(AN68/30)</f>
        <v>1</v>
      </c>
      <c r="AP68" s="170">
        <f t="shared" ref="AP68:AP112" si="91">AN68-AO68*30</f>
        <v>0</v>
      </c>
      <c r="AQ68" s="171">
        <f t="shared" ref="AQ68:AQ112" si="92">$AS$6*AL68*AO68+IF(AP68&gt;14,AL68*$AS$6,0)</f>
        <v>62.406227519999995</v>
      </c>
      <c r="AR68" s="171">
        <f t="shared" ref="AR68:AR112" si="93">AM68*AO68*$AS$6+IF(AP68&gt;14,AM68*$AS$6,0)</f>
        <v>70.107532431999999</v>
      </c>
      <c r="AS68" s="171">
        <f t="shared" ref="AS68:AS112" si="94">AR68-AQ68</f>
        <v>7.7013049120000048</v>
      </c>
      <c r="AT68" s="167">
        <f t="shared" si="53"/>
        <v>42370</v>
      </c>
      <c r="AU68" s="167">
        <f t="shared" si="54"/>
        <v>42399</v>
      </c>
      <c r="AV68" s="168">
        <f t="shared" ref="AV68:AV112" si="95">AL68</f>
        <v>2035.8</v>
      </c>
      <c r="AW68" s="169">
        <f t="shared" ref="AW68:AW112" si="96">AM68</f>
        <v>2287.0300000000002</v>
      </c>
      <c r="AX68" s="170">
        <f t="shared" ref="AX68:AX112" si="97">IF(OR(AT68="",AU68=""),0,DAYS360(AT68,AU68,TRUE)+1)</f>
        <v>30</v>
      </c>
      <c r="AY68" s="170">
        <f t="shared" ref="AY68:AY112" si="98">INT(AX68/30)</f>
        <v>1</v>
      </c>
      <c r="AZ68" s="170">
        <f t="shared" ref="AZ68:AZ112" si="99">AX68-AY68*30</f>
        <v>0</v>
      </c>
      <c r="BA68" s="171">
        <f t="shared" ref="BA68:BA112" si="100">$BC$6*AV68*AY68+IF(AZ68&gt;14,AV68*$BC$6,0)</f>
        <v>83.23327583999999</v>
      </c>
      <c r="BB68" s="171">
        <f t="shared" ref="BB68:BB112" si="101">AW68*AY68*$BC$6+IF(AZ68&gt;14,AW68*$BC$6,0)</f>
        <v>93.504764144000006</v>
      </c>
      <c r="BC68" s="171">
        <f t="shared" ref="BC68:BC112" si="102">BB68-BA68</f>
        <v>10.271488304000016</v>
      </c>
      <c r="BD68" s="171">
        <f t="shared" ref="BD68:BD112" si="103">BC68+AS68+AI68+Y68+O68</f>
        <v>77.61479521600009</v>
      </c>
    </row>
    <row r="69" spans="1:56">
      <c r="A69" s="587" t="str">
        <f>'BANCO DADOS-CUSTO TOTAL'!C79</f>
        <v>Governador Valadares</v>
      </c>
      <c r="B69" s="588" t="str">
        <f>'BANCO DADOS-CUSTO TOTAL'!H79</f>
        <v>BELTRANO 12394</v>
      </c>
      <c r="C69" s="588" t="str">
        <f>'BANCO DADOS-CUSTO TOTAL'!I79</f>
        <v>VIGILANTE ARMADO - 220 H</v>
      </c>
      <c r="D69" s="172"/>
      <c r="E69" s="172"/>
      <c r="F69" s="167">
        <v>42370</v>
      </c>
      <c r="G69" s="167">
        <v>42399</v>
      </c>
      <c r="H69" s="168">
        <f t="shared" si="64"/>
        <v>2035.8</v>
      </c>
      <c r="I69" s="169">
        <f>'BANCO DADOS-CUSTO TOTAL'!Y79</f>
        <v>2287.0300000000002</v>
      </c>
      <c r="J69" s="170">
        <f t="shared" si="65"/>
        <v>30</v>
      </c>
      <c r="K69" s="170">
        <f t="shared" si="66"/>
        <v>1</v>
      </c>
      <c r="L69" s="170">
        <f t="shared" si="67"/>
        <v>0</v>
      </c>
      <c r="M69" s="171">
        <f t="shared" si="68"/>
        <v>169.58213999999998</v>
      </c>
      <c r="N69" s="171">
        <f t="shared" si="69"/>
        <v>190.50959900000001</v>
      </c>
      <c r="O69" s="171">
        <f t="shared" si="70"/>
        <v>20.927459000000027</v>
      </c>
      <c r="P69" s="167">
        <f t="shared" si="23"/>
        <v>42370</v>
      </c>
      <c r="Q69" s="167">
        <f t="shared" si="24"/>
        <v>42399</v>
      </c>
      <c r="R69" s="168">
        <f t="shared" si="71"/>
        <v>2035.8</v>
      </c>
      <c r="S69" s="169">
        <f t="shared" si="72"/>
        <v>2287.0300000000002</v>
      </c>
      <c r="T69" s="170">
        <f t="shared" si="73"/>
        <v>30</v>
      </c>
      <c r="U69" s="170">
        <f t="shared" si="74"/>
        <v>1</v>
      </c>
      <c r="V69" s="170">
        <f t="shared" si="75"/>
        <v>0</v>
      </c>
      <c r="W69" s="171">
        <f t="shared" si="76"/>
        <v>226.17738</v>
      </c>
      <c r="X69" s="171">
        <f t="shared" si="77"/>
        <v>254.08903300000003</v>
      </c>
      <c r="Y69" s="171">
        <f t="shared" si="78"/>
        <v>27.91165300000003</v>
      </c>
      <c r="Z69" s="167">
        <f t="shared" si="33"/>
        <v>42370</v>
      </c>
      <c r="AA69" s="167">
        <f t="shared" si="34"/>
        <v>42399</v>
      </c>
      <c r="AB69" s="168">
        <f t="shared" si="79"/>
        <v>2035.8</v>
      </c>
      <c r="AC69" s="169">
        <f t="shared" si="80"/>
        <v>2287.0300000000002</v>
      </c>
      <c r="AD69" s="170">
        <f t="shared" si="81"/>
        <v>30</v>
      </c>
      <c r="AE69" s="170">
        <f t="shared" si="82"/>
        <v>1</v>
      </c>
      <c r="AF69" s="170">
        <f t="shared" si="83"/>
        <v>0</v>
      </c>
      <c r="AG69" s="171">
        <f t="shared" si="84"/>
        <v>87.539399999999986</v>
      </c>
      <c r="AH69" s="171">
        <f t="shared" si="85"/>
        <v>98.342290000000006</v>
      </c>
      <c r="AI69" s="171">
        <f t="shared" si="86"/>
        <v>10.802890000000019</v>
      </c>
      <c r="AJ69" s="167">
        <f t="shared" si="43"/>
        <v>42370</v>
      </c>
      <c r="AK69" s="167">
        <f t="shared" si="44"/>
        <v>42399</v>
      </c>
      <c r="AL69" s="168">
        <f t="shared" si="87"/>
        <v>2035.8</v>
      </c>
      <c r="AM69" s="169">
        <f t="shared" si="88"/>
        <v>2287.0300000000002</v>
      </c>
      <c r="AN69" s="170">
        <f t="shared" si="89"/>
        <v>30</v>
      </c>
      <c r="AO69" s="170">
        <f t="shared" si="90"/>
        <v>1</v>
      </c>
      <c r="AP69" s="170">
        <f t="shared" si="91"/>
        <v>0</v>
      </c>
      <c r="AQ69" s="171">
        <f t="shared" si="92"/>
        <v>62.406227519999995</v>
      </c>
      <c r="AR69" s="171">
        <f t="shared" si="93"/>
        <v>70.107532431999999</v>
      </c>
      <c r="AS69" s="171">
        <f t="shared" si="94"/>
        <v>7.7013049120000048</v>
      </c>
      <c r="AT69" s="167">
        <f t="shared" si="53"/>
        <v>42370</v>
      </c>
      <c r="AU69" s="167">
        <f t="shared" si="54"/>
        <v>42399</v>
      </c>
      <c r="AV69" s="168">
        <f t="shared" si="95"/>
        <v>2035.8</v>
      </c>
      <c r="AW69" s="169">
        <f t="shared" si="96"/>
        <v>2287.0300000000002</v>
      </c>
      <c r="AX69" s="170">
        <f t="shared" si="97"/>
        <v>30</v>
      </c>
      <c r="AY69" s="170">
        <f t="shared" si="98"/>
        <v>1</v>
      </c>
      <c r="AZ69" s="170">
        <f t="shared" si="99"/>
        <v>0</v>
      </c>
      <c r="BA69" s="171">
        <f t="shared" si="100"/>
        <v>83.23327583999999</v>
      </c>
      <c r="BB69" s="171">
        <f t="shared" si="101"/>
        <v>93.504764144000006</v>
      </c>
      <c r="BC69" s="171">
        <f t="shared" si="102"/>
        <v>10.271488304000016</v>
      </c>
      <c r="BD69" s="171">
        <f t="shared" si="103"/>
        <v>77.61479521600009</v>
      </c>
    </row>
    <row r="70" spans="1:56">
      <c r="A70" s="587" t="str">
        <f>'BANCO DADOS-CUSTO TOTAL'!C80</f>
        <v>Governador Valadares</v>
      </c>
      <c r="B70" s="588" t="str">
        <f>'BANCO DADOS-CUSTO TOTAL'!H80</f>
        <v>BELTRANO 12395</v>
      </c>
      <c r="C70" s="588" t="str">
        <f>'BANCO DADOS-CUSTO TOTAL'!I80</f>
        <v>VIGILANTE ARMADO - 12X36 DIURNO</v>
      </c>
      <c r="D70" s="172"/>
      <c r="E70" s="172"/>
      <c r="F70" s="167">
        <v>42370</v>
      </c>
      <c r="G70" s="167">
        <v>42399</v>
      </c>
      <c r="H70" s="168">
        <f t="shared" si="64"/>
        <v>1869.08</v>
      </c>
      <c r="I70" s="169">
        <f>'BANCO DADOS-CUSTO TOTAL'!Y80</f>
        <v>2277.88</v>
      </c>
      <c r="J70" s="170">
        <f t="shared" si="65"/>
        <v>30</v>
      </c>
      <c r="K70" s="170">
        <f t="shared" si="66"/>
        <v>1</v>
      </c>
      <c r="L70" s="170">
        <f t="shared" si="67"/>
        <v>0</v>
      </c>
      <c r="M70" s="171">
        <f t="shared" si="68"/>
        <v>155.69436399999998</v>
      </c>
      <c r="N70" s="171">
        <f t="shared" si="69"/>
        <v>189.74740400000002</v>
      </c>
      <c r="O70" s="171">
        <f t="shared" si="70"/>
        <v>34.053040000000038</v>
      </c>
      <c r="P70" s="167">
        <f t="shared" si="23"/>
        <v>42370</v>
      </c>
      <c r="Q70" s="167">
        <f t="shared" si="24"/>
        <v>42399</v>
      </c>
      <c r="R70" s="168">
        <f t="shared" si="71"/>
        <v>1869.08</v>
      </c>
      <c r="S70" s="169">
        <f t="shared" si="72"/>
        <v>2277.88</v>
      </c>
      <c r="T70" s="170">
        <f t="shared" si="73"/>
        <v>30</v>
      </c>
      <c r="U70" s="170">
        <f t="shared" si="74"/>
        <v>1</v>
      </c>
      <c r="V70" s="170">
        <f t="shared" si="75"/>
        <v>0</v>
      </c>
      <c r="W70" s="171">
        <f t="shared" si="76"/>
        <v>207.654788</v>
      </c>
      <c r="X70" s="171">
        <f t="shared" si="77"/>
        <v>253.07246800000001</v>
      </c>
      <c r="Y70" s="171">
        <f t="shared" si="78"/>
        <v>45.417680000000018</v>
      </c>
      <c r="Z70" s="167">
        <f t="shared" si="33"/>
        <v>42370</v>
      </c>
      <c r="AA70" s="167">
        <f t="shared" si="34"/>
        <v>42399</v>
      </c>
      <c r="AB70" s="168">
        <f t="shared" si="79"/>
        <v>1869.08</v>
      </c>
      <c r="AC70" s="169">
        <f t="shared" si="80"/>
        <v>2277.88</v>
      </c>
      <c r="AD70" s="170">
        <f t="shared" si="81"/>
        <v>30</v>
      </c>
      <c r="AE70" s="170">
        <f t="shared" si="82"/>
        <v>1</v>
      </c>
      <c r="AF70" s="170">
        <f t="shared" si="83"/>
        <v>0</v>
      </c>
      <c r="AG70" s="171">
        <f t="shared" si="84"/>
        <v>80.370439999999988</v>
      </c>
      <c r="AH70" s="171">
        <f t="shared" si="85"/>
        <v>97.94883999999999</v>
      </c>
      <c r="AI70" s="171">
        <f t="shared" si="86"/>
        <v>17.578400000000002</v>
      </c>
      <c r="AJ70" s="167">
        <f t="shared" si="43"/>
        <v>42370</v>
      </c>
      <c r="AK70" s="167">
        <f t="shared" si="44"/>
        <v>42399</v>
      </c>
      <c r="AL70" s="168">
        <f t="shared" si="87"/>
        <v>1869.08</v>
      </c>
      <c r="AM70" s="169">
        <f t="shared" si="88"/>
        <v>2277.88</v>
      </c>
      <c r="AN70" s="170">
        <f t="shared" si="89"/>
        <v>30</v>
      </c>
      <c r="AO70" s="170">
        <f t="shared" si="90"/>
        <v>1</v>
      </c>
      <c r="AP70" s="170">
        <f t="shared" si="91"/>
        <v>0</v>
      </c>
      <c r="AQ70" s="171">
        <f t="shared" si="92"/>
        <v>57.295525951999991</v>
      </c>
      <c r="AR70" s="171">
        <f t="shared" si="93"/>
        <v>69.827044672</v>
      </c>
      <c r="AS70" s="171">
        <f t="shared" si="94"/>
        <v>12.531518720000008</v>
      </c>
      <c r="AT70" s="167">
        <f t="shared" si="53"/>
        <v>42370</v>
      </c>
      <c r="AU70" s="167">
        <f t="shared" si="54"/>
        <v>42399</v>
      </c>
      <c r="AV70" s="168">
        <f t="shared" si="95"/>
        <v>1869.08</v>
      </c>
      <c r="AW70" s="169">
        <f t="shared" si="96"/>
        <v>2277.88</v>
      </c>
      <c r="AX70" s="170">
        <f t="shared" si="97"/>
        <v>30</v>
      </c>
      <c r="AY70" s="170">
        <f t="shared" si="98"/>
        <v>1</v>
      </c>
      <c r="AZ70" s="170">
        <f t="shared" si="99"/>
        <v>0</v>
      </c>
      <c r="BA70" s="171">
        <f t="shared" si="100"/>
        <v>76.416961983999997</v>
      </c>
      <c r="BB70" s="171">
        <f t="shared" si="101"/>
        <v>93.130668224000004</v>
      </c>
      <c r="BC70" s="171">
        <f t="shared" si="102"/>
        <v>16.713706240000008</v>
      </c>
      <c r="BD70" s="171">
        <f t="shared" si="103"/>
        <v>126.29434496000007</v>
      </c>
    </row>
    <row r="71" spans="1:56">
      <c r="A71" s="587" t="str">
        <f>'BANCO DADOS-CUSTO TOTAL'!C81</f>
        <v>Governador Valadares</v>
      </c>
      <c r="B71" s="588" t="str">
        <f>'BANCO DADOS-CUSTO TOTAL'!H81</f>
        <v>BELTRANO 12396</v>
      </c>
      <c r="C71" s="588" t="str">
        <f>'BANCO DADOS-CUSTO TOTAL'!I81</f>
        <v>VIGILANTE ARMADO - 12X36 DIURNO</v>
      </c>
      <c r="D71" s="172"/>
      <c r="E71" s="172"/>
      <c r="F71" s="167">
        <v>42370</v>
      </c>
      <c r="G71" s="167">
        <v>42399</v>
      </c>
      <c r="H71" s="168">
        <f t="shared" si="64"/>
        <v>1869.08</v>
      </c>
      <c r="I71" s="169">
        <f>'BANCO DADOS-CUSTO TOTAL'!Y81</f>
        <v>2277.88</v>
      </c>
      <c r="J71" s="170">
        <f t="shared" si="65"/>
        <v>30</v>
      </c>
      <c r="K71" s="170">
        <f t="shared" si="66"/>
        <v>1</v>
      </c>
      <c r="L71" s="170">
        <f t="shared" si="67"/>
        <v>0</v>
      </c>
      <c r="M71" s="171">
        <f t="shared" si="68"/>
        <v>155.69436399999998</v>
      </c>
      <c r="N71" s="171">
        <f t="shared" si="69"/>
        <v>189.74740400000002</v>
      </c>
      <c r="O71" s="171">
        <f t="shared" si="70"/>
        <v>34.053040000000038</v>
      </c>
      <c r="P71" s="167">
        <f t="shared" si="23"/>
        <v>42370</v>
      </c>
      <c r="Q71" s="167">
        <f t="shared" si="24"/>
        <v>42399</v>
      </c>
      <c r="R71" s="168">
        <f t="shared" si="71"/>
        <v>1869.08</v>
      </c>
      <c r="S71" s="169">
        <f t="shared" si="72"/>
        <v>2277.88</v>
      </c>
      <c r="T71" s="170">
        <f t="shared" si="73"/>
        <v>30</v>
      </c>
      <c r="U71" s="170">
        <f t="shared" si="74"/>
        <v>1</v>
      </c>
      <c r="V71" s="170">
        <f t="shared" si="75"/>
        <v>0</v>
      </c>
      <c r="W71" s="171">
        <f t="shared" si="76"/>
        <v>207.654788</v>
      </c>
      <c r="X71" s="171">
        <f t="shared" si="77"/>
        <v>253.07246800000001</v>
      </c>
      <c r="Y71" s="171">
        <f t="shared" si="78"/>
        <v>45.417680000000018</v>
      </c>
      <c r="Z71" s="167">
        <f t="shared" si="33"/>
        <v>42370</v>
      </c>
      <c r="AA71" s="167">
        <f t="shared" si="34"/>
        <v>42399</v>
      </c>
      <c r="AB71" s="168">
        <f t="shared" si="79"/>
        <v>1869.08</v>
      </c>
      <c r="AC71" s="169">
        <f t="shared" si="80"/>
        <v>2277.88</v>
      </c>
      <c r="AD71" s="170">
        <f t="shared" si="81"/>
        <v>30</v>
      </c>
      <c r="AE71" s="170">
        <f t="shared" si="82"/>
        <v>1</v>
      </c>
      <c r="AF71" s="170">
        <f t="shared" si="83"/>
        <v>0</v>
      </c>
      <c r="AG71" s="171">
        <f t="shared" si="84"/>
        <v>80.370439999999988</v>
      </c>
      <c r="AH71" s="171">
        <f t="shared" si="85"/>
        <v>97.94883999999999</v>
      </c>
      <c r="AI71" s="171">
        <f t="shared" si="86"/>
        <v>17.578400000000002</v>
      </c>
      <c r="AJ71" s="167">
        <f t="shared" si="43"/>
        <v>42370</v>
      </c>
      <c r="AK71" s="167">
        <f t="shared" si="44"/>
        <v>42399</v>
      </c>
      <c r="AL71" s="168">
        <f t="shared" si="87"/>
        <v>1869.08</v>
      </c>
      <c r="AM71" s="169">
        <f t="shared" si="88"/>
        <v>2277.88</v>
      </c>
      <c r="AN71" s="170">
        <f t="shared" si="89"/>
        <v>30</v>
      </c>
      <c r="AO71" s="170">
        <f t="shared" si="90"/>
        <v>1</v>
      </c>
      <c r="AP71" s="170">
        <f t="shared" si="91"/>
        <v>0</v>
      </c>
      <c r="AQ71" s="171">
        <f t="shared" si="92"/>
        <v>57.295525951999991</v>
      </c>
      <c r="AR71" s="171">
        <f t="shared" si="93"/>
        <v>69.827044672</v>
      </c>
      <c r="AS71" s="171">
        <f t="shared" si="94"/>
        <v>12.531518720000008</v>
      </c>
      <c r="AT71" s="167">
        <f t="shared" si="53"/>
        <v>42370</v>
      </c>
      <c r="AU71" s="167">
        <f t="shared" si="54"/>
        <v>42399</v>
      </c>
      <c r="AV71" s="168">
        <f t="shared" si="95"/>
        <v>1869.08</v>
      </c>
      <c r="AW71" s="169">
        <f t="shared" si="96"/>
        <v>2277.88</v>
      </c>
      <c r="AX71" s="170">
        <f t="shared" si="97"/>
        <v>30</v>
      </c>
      <c r="AY71" s="170">
        <f t="shared" si="98"/>
        <v>1</v>
      </c>
      <c r="AZ71" s="170">
        <f t="shared" si="99"/>
        <v>0</v>
      </c>
      <c r="BA71" s="171">
        <f t="shared" si="100"/>
        <v>76.416961983999997</v>
      </c>
      <c r="BB71" s="171">
        <f t="shared" si="101"/>
        <v>93.130668224000004</v>
      </c>
      <c r="BC71" s="171">
        <f t="shared" si="102"/>
        <v>16.713706240000008</v>
      </c>
      <c r="BD71" s="171">
        <f t="shared" si="103"/>
        <v>126.29434496000007</v>
      </c>
    </row>
    <row r="72" spans="1:56">
      <c r="A72" s="587" t="str">
        <f>'BANCO DADOS-CUSTO TOTAL'!C83</f>
        <v>Igarapé</v>
      </c>
      <c r="B72" s="588" t="str">
        <f>'BANCO DADOS-CUSTO TOTAL'!H83</f>
        <v>BELTRANO 12397</v>
      </c>
      <c r="C72" s="588" t="str">
        <f>'BANCO DADOS-CUSTO TOTAL'!I83</f>
        <v>VIGILANTE ARMADO - 220 H</v>
      </c>
      <c r="D72" s="172"/>
      <c r="E72" s="172"/>
      <c r="F72" s="167">
        <v>42370</v>
      </c>
      <c r="G72" s="167">
        <v>42399</v>
      </c>
      <c r="H72" s="168">
        <f t="shared" si="64"/>
        <v>2035.8</v>
      </c>
      <c r="I72" s="169">
        <f>'BANCO DADOS-CUSTO TOTAL'!Y83</f>
        <v>2287.0300000000002</v>
      </c>
      <c r="J72" s="170">
        <f t="shared" si="65"/>
        <v>30</v>
      </c>
      <c r="K72" s="170">
        <f t="shared" si="66"/>
        <v>1</v>
      </c>
      <c r="L72" s="170">
        <f t="shared" si="67"/>
        <v>0</v>
      </c>
      <c r="M72" s="171">
        <f t="shared" si="68"/>
        <v>169.58213999999998</v>
      </c>
      <c r="N72" s="171">
        <f t="shared" si="69"/>
        <v>190.50959900000001</v>
      </c>
      <c r="O72" s="171">
        <f t="shared" si="70"/>
        <v>20.927459000000027</v>
      </c>
      <c r="P72" s="167">
        <f t="shared" si="23"/>
        <v>42370</v>
      </c>
      <c r="Q72" s="167">
        <f t="shared" si="24"/>
        <v>42399</v>
      </c>
      <c r="R72" s="168">
        <f t="shared" si="71"/>
        <v>2035.8</v>
      </c>
      <c r="S72" s="169">
        <f t="shared" si="72"/>
        <v>2287.0300000000002</v>
      </c>
      <c r="T72" s="170">
        <f t="shared" si="73"/>
        <v>30</v>
      </c>
      <c r="U72" s="170">
        <f t="shared" si="74"/>
        <v>1</v>
      </c>
      <c r="V72" s="170">
        <f t="shared" si="75"/>
        <v>0</v>
      </c>
      <c r="W72" s="171">
        <f t="shared" si="76"/>
        <v>226.17738</v>
      </c>
      <c r="X72" s="171">
        <f t="shared" si="77"/>
        <v>254.08903300000003</v>
      </c>
      <c r="Y72" s="171">
        <f t="shared" si="78"/>
        <v>27.91165300000003</v>
      </c>
      <c r="Z72" s="167">
        <f t="shared" si="33"/>
        <v>42370</v>
      </c>
      <c r="AA72" s="167">
        <f t="shared" si="34"/>
        <v>42399</v>
      </c>
      <c r="AB72" s="168">
        <f t="shared" si="79"/>
        <v>2035.8</v>
      </c>
      <c r="AC72" s="169">
        <f t="shared" si="80"/>
        <v>2287.0300000000002</v>
      </c>
      <c r="AD72" s="170">
        <f t="shared" si="81"/>
        <v>30</v>
      </c>
      <c r="AE72" s="170">
        <f t="shared" si="82"/>
        <v>1</v>
      </c>
      <c r="AF72" s="170">
        <f t="shared" si="83"/>
        <v>0</v>
      </c>
      <c r="AG72" s="171">
        <f t="shared" si="84"/>
        <v>87.539399999999986</v>
      </c>
      <c r="AH72" s="171">
        <f t="shared" si="85"/>
        <v>98.342290000000006</v>
      </c>
      <c r="AI72" s="171">
        <f t="shared" si="86"/>
        <v>10.802890000000019</v>
      </c>
      <c r="AJ72" s="167">
        <f t="shared" si="43"/>
        <v>42370</v>
      </c>
      <c r="AK72" s="167">
        <f t="shared" si="44"/>
        <v>42399</v>
      </c>
      <c r="AL72" s="168">
        <f t="shared" si="87"/>
        <v>2035.8</v>
      </c>
      <c r="AM72" s="169">
        <f t="shared" si="88"/>
        <v>2287.0300000000002</v>
      </c>
      <c r="AN72" s="170">
        <f t="shared" si="89"/>
        <v>30</v>
      </c>
      <c r="AO72" s="170">
        <f t="shared" si="90"/>
        <v>1</v>
      </c>
      <c r="AP72" s="170">
        <f t="shared" si="91"/>
        <v>0</v>
      </c>
      <c r="AQ72" s="171">
        <f t="shared" si="92"/>
        <v>62.406227519999995</v>
      </c>
      <c r="AR72" s="171">
        <f t="shared" si="93"/>
        <v>70.107532431999999</v>
      </c>
      <c r="AS72" s="171">
        <f t="shared" si="94"/>
        <v>7.7013049120000048</v>
      </c>
      <c r="AT72" s="167">
        <f t="shared" si="53"/>
        <v>42370</v>
      </c>
      <c r="AU72" s="167">
        <f t="shared" si="54"/>
        <v>42399</v>
      </c>
      <c r="AV72" s="168">
        <f t="shared" si="95"/>
        <v>2035.8</v>
      </c>
      <c r="AW72" s="169">
        <f t="shared" si="96"/>
        <v>2287.0300000000002</v>
      </c>
      <c r="AX72" s="170">
        <f t="shared" si="97"/>
        <v>30</v>
      </c>
      <c r="AY72" s="170">
        <f t="shared" si="98"/>
        <v>1</v>
      </c>
      <c r="AZ72" s="170">
        <f t="shared" si="99"/>
        <v>0</v>
      </c>
      <c r="BA72" s="171">
        <f t="shared" si="100"/>
        <v>83.23327583999999</v>
      </c>
      <c r="BB72" s="171">
        <f t="shared" si="101"/>
        <v>93.504764144000006</v>
      </c>
      <c r="BC72" s="171">
        <f t="shared" si="102"/>
        <v>10.271488304000016</v>
      </c>
      <c r="BD72" s="171">
        <f t="shared" si="103"/>
        <v>77.61479521600009</v>
      </c>
    </row>
    <row r="73" spans="1:56">
      <c r="A73" s="587" t="str">
        <f>'BANCO DADOS-CUSTO TOTAL'!C85</f>
        <v>Ipatinga</v>
      </c>
      <c r="B73" s="588" t="str">
        <f>'BANCO DADOS-CUSTO TOTAL'!H85</f>
        <v>BELTRANO 12398</v>
      </c>
      <c r="C73" s="588" t="str">
        <f>'BANCO DADOS-CUSTO TOTAL'!I85</f>
        <v>VIGILANTE ARMADO - 220 H</v>
      </c>
      <c r="D73" s="172"/>
      <c r="E73" s="172"/>
      <c r="F73" s="167">
        <v>42370</v>
      </c>
      <c r="G73" s="167">
        <v>42399</v>
      </c>
      <c r="H73" s="168">
        <f t="shared" si="64"/>
        <v>2035.8</v>
      </c>
      <c r="I73" s="169">
        <f>'BANCO DADOS-CUSTO TOTAL'!Y85</f>
        <v>2287.0300000000002</v>
      </c>
      <c r="J73" s="170">
        <f t="shared" si="65"/>
        <v>30</v>
      </c>
      <c r="K73" s="170">
        <f t="shared" si="66"/>
        <v>1</v>
      </c>
      <c r="L73" s="170">
        <f t="shared" si="67"/>
        <v>0</v>
      </c>
      <c r="M73" s="171">
        <f t="shared" si="68"/>
        <v>169.58213999999998</v>
      </c>
      <c r="N73" s="171">
        <f t="shared" si="69"/>
        <v>190.50959900000001</v>
      </c>
      <c r="O73" s="171">
        <f t="shared" si="70"/>
        <v>20.927459000000027</v>
      </c>
      <c r="P73" s="167">
        <f t="shared" si="23"/>
        <v>42370</v>
      </c>
      <c r="Q73" s="167">
        <f t="shared" si="24"/>
        <v>42399</v>
      </c>
      <c r="R73" s="168">
        <f t="shared" si="71"/>
        <v>2035.8</v>
      </c>
      <c r="S73" s="169">
        <f t="shared" si="72"/>
        <v>2287.0300000000002</v>
      </c>
      <c r="T73" s="170">
        <f t="shared" si="73"/>
        <v>30</v>
      </c>
      <c r="U73" s="170">
        <f t="shared" si="74"/>
        <v>1</v>
      </c>
      <c r="V73" s="170">
        <f t="shared" si="75"/>
        <v>0</v>
      </c>
      <c r="W73" s="171">
        <f t="shared" si="76"/>
        <v>226.17738</v>
      </c>
      <c r="X73" s="171">
        <f t="shared" si="77"/>
        <v>254.08903300000003</v>
      </c>
      <c r="Y73" s="171">
        <f t="shared" si="78"/>
        <v>27.91165300000003</v>
      </c>
      <c r="Z73" s="167">
        <f t="shared" si="33"/>
        <v>42370</v>
      </c>
      <c r="AA73" s="167">
        <f t="shared" si="34"/>
        <v>42399</v>
      </c>
      <c r="AB73" s="168">
        <f t="shared" si="79"/>
        <v>2035.8</v>
      </c>
      <c r="AC73" s="169">
        <f t="shared" si="80"/>
        <v>2287.0300000000002</v>
      </c>
      <c r="AD73" s="170">
        <f t="shared" si="81"/>
        <v>30</v>
      </c>
      <c r="AE73" s="170">
        <f t="shared" si="82"/>
        <v>1</v>
      </c>
      <c r="AF73" s="170">
        <f t="shared" si="83"/>
        <v>0</v>
      </c>
      <c r="AG73" s="171">
        <f t="shared" si="84"/>
        <v>87.539399999999986</v>
      </c>
      <c r="AH73" s="171">
        <f t="shared" si="85"/>
        <v>98.342290000000006</v>
      </c>
      <c r="AI73" s="171">
        <f t="shared" si="86"/>
        <v>10.802890000000019</v>
      </c>
      <c r="AJ73" s="167">
        <f t="shared" si="43"/>
        <v>42370</v>
      </c>
      <c r="AK73" s="167">
        <f t="shared" si="44"/>
        <v>42399</v>
      </c>
      <c r="AL73" s="168">
        <f t="shared" si="87"/>
        <v>2035.8</v>
      </c>
      <c r="AM73" s="169">
        <f t="shared" si="88"/>
        <v>2287.0300000000002</v>
      </c>
      <c r="AN73" s="170">
        <f t="shared" si="89"/>
        <v>30</v>
      </c>
      <c r="AO73" s="170">
        <f t="shared" si="90"/>
        <v>1</v>
      </c>
      <c r="AP73" s="170">
        <f t="shared" si="91"/>
        <v>0</v>
      </c>
      <c r="AQ73" s="171">
        <f t="shared" si="92"/>
        <v>62.406227519999995</v>
      </c>
      <c r="AR73" s="171">
        <f t="shared" si="93"/>
        <v>70.107532431999999</v>
      </c>
      <c r="AS73" s="171">
        <f t="shared" si="94"/>
        <v>7.7013049120000048</v>
      </c>
      <c r="AT73" s="167">
        <f t="shared" si="53"/>
        <v>42370</v>
      </c>
      <c r="AU73" s="167">
        <f t="shared" si="54"/>
        <v>42399</v>
      </c>
      <c r="AV73" s="168">
        <f t="shared" si="95"/>
        <v>2035.8</v>
      </c>
      <c r="AW73" s="169">
        <f t="shared" si="96"/>
        <v>2287.0300000000002</v>
      </c>
      <c r="AX73" s="170">
        <f t="shared" si="97"/>
        <v>30</v>
      </c>
      <c r="AY73" s="170">
        <f t="shared" si="98"/>
        <v>1</v>
      </c>
      <c r="AZ73" s="170">
        <f t="shared" si="99"/>
        <v>0</v>
      </c>
      <c r="BA73" s="171">
        <f t="shared" si="100"/>
        <v>83.23327583999999</v>
      </c>
      <c r="BB73" s="171">
        <f t="shared" si="101"/>
        <v>93.504764144000006</v>
      </c>
      <c r="BC73" s="171">
        <f t="shared" si="102"/>
        <v>10.271488304000016</v>
      </c>
      <c r="BD73" s="171">
        <f t="shared" si="103"/>
        <v>77.61479521600009</v>
      </c>
    </row>
    <row r="74" spans="1:56">
      <c r="A74" s="587" t="str">
        <f>'BANCO DADOS-CUSTO TOTAL'!C87</f>
        <v>Ituiutaba</v>
      </c>
      <c r="B74" s="588" t="str">
        <f>'BANCO DADOS-CUSTO TOTAL'!H87</f>
        <v>BELTRANO 12399</v>
      </c>
      <c r="C74" s="588" t="str">
        <f>'BANCO DADOS-CUSTO TOTAL'!I87</f>
        <v>VIGILANTE ARMADO - 220 H</v>
      </c>
      <c r="D74" s="172"/>
      <c r="E74" s="172"/>
      <c r="F74" s="167">
        <v>42370</v>
      </c>
      <c r="G74" s="167">
        <v>42399</v>
      </c>
      <c r="H74" s="168">
        <f t="shared" si="64"/>
        <v>2035.8</v>
      </c>
      <c r="I74" s="169">
        <f>'BANCO DADOS-CUSTO TOTAL'!Y87</f>
        <v>2287.0300000000002</v>
      </c>
      <c r="J74" s="170">
        <f t="shared" si="65"/>
        <v>30</v>
      </c>
      <c r="K74" s="170">
        <f t="shared" si="66"/>
        <v>1</v>
      </c>
      <c r="L74" s="170">
        <f t="shared" si="67"/>
        <v>0</v>
      </c>
      <c r="M74" s="171">
        <f t="shared" si="68"/>
        <v>169.58213999999998</v>
      </c>
      <c r="N74" s="171">
        <f t="shared" si="69"/>
        <v>190.50959900000001</v>
      </c>
      <c r="O74" s="171">
        <f t="shared" si="70"/>
        <v>20.927459000000027</v>
      </c>
      <c r="P74" s="167">
        <f t="shared" si="23"/>
        <v>42370</v>
      </c>
      <c r="Q74" s="167">
        <f t="shared" si="24"/>
        <v>42399</v>
      </c>
      <c r="R74" s="168">
        <f t="shared" si="71"/>
        <v>2035.8</v>
      </c>
      <c r="S74" s="169">
        <f t="shared" si="72"/>
        <v>2287.0300000000002</v>
      </c>
      <c r="T74" s="170">
        <f t="shared" si="73"/>
        <v>30</v>
      </c>
      <c r="U74" s="170">
        <f t="shared" si="74"/>
        <v>1</v>
      </c>
      <c r="V74" s="170">
        <f t="shared" si="75"/>
        <v>0</v>
      </c>
      <c r="W74" s="171">
        <f t="shared" si="76"/>
        <v>226.17738</v>
      </c>
      <c r="X74" s="171">
        <f t="shared" si="77"/>
        <v>254.08903300000003</v>
      </c>
      <c r="Y74" s="171">
        <f t="shared" si="78"/>
        <v>27.91165300000003</v>
      </c>
      <c r="Z74" s="167">
        <f t="shared" si="33"/>
        <v>42370</v>
      </c>
      <c r="AA74" s="167">
        <f t="shared" si="34"/>
        <v>42399</v>
      </c>
      <c r="AB74" s="168">
        <f t="shared" si="79"/>
        <v>2035.8</v>
      </c>
      <c r="AC74" s="169">
        <f t="shared" si="80"/>
        <v>2287.0300000000002</v>
      </c>
      <c r="AD74" s="170">
        <f t="shared" si="81"/>
        <v>30</v>
      </c>
      <c r="AE74" s="170">
        <f t="shared" si="82"/>
        <v>1</v>
      </c>
      <c r="AF74" s="170">
        <f t="shared" si="83"/>
        <v>0</v>
      </c>
      <c r="AG74" s="171">
        <f t="shared" si="84"/>
        <v>87.539399999999986</v>
      </c>
      <c r="AH74" s="171">
        <f t="shared" si="85"/>
        <v>98.342290000000006</v>
      </c>
      <c r="AI74" s="171">
        <f t="shared" si="86"/>
        <v>10.802890000000019</v>
      </c>
      <c r="AJ74" s="167">
        <f t="shared" si="43"/>
        <v>42370</v>
      </c>
      <c r="AK74" s="167">
        <f t="shared" si="44"/>
        <v>42399</v>
      </c>
      <c r="AL74" s="168">
        <f t="shared" si="87"/>
        <v>2035.8</v>
      </c>
      <c r="AM74" s="169">
        <f t="shared" si="88"/>
        <v>2287.0300000000002</v>
      </c>
      <c r="AN74" s="170">
        <f t="shared" si="89"/>
        <v>30</v>
      </c>
      <c r="AO74" s="170">
        <f t="shared" si="90"/>
        <v>1</v>
      </c>
      <c r="AP74" s="170">
        <f t="shared" si="91"/>
        <v>0</v>
      </c>
      <c r="AQ74" s="171">
        <f t="shared" si="92"/>
        <v>62.406227519999995</v>
      </c>
      <c r="AR74" s="171">
        <f t="shared" si="93"/>
        <v>70.107532431999999</v>
      </c>
      <c r="AS74" s="171">
        <f t="shared" si="94"/>
        <v>7.7013049120000048</v>
      </c>
      <c r="AT74" s="167">
        <f t="shared" si="53"/>
        <v>42370</v>
      </c>
      <c r="AU74" s="167">
        <f t="shared" si="54"/>
        <v>42399</v>
      </c>
      <c r="AV74" s="168">
        <f t="shared" si="95"/>
        <v>2035.8</v>
      </c>
      <c r="AW74" s="169">
        <f t="shared" si="96"/>
        <v>2287.0300000000002</v>
      </c>
      <c r="AX74" s="170">
        <f t="shared" si="97"/>
        <v>30</v>
      </c>
      <c r="AY74" s="170">
        <f t="shared" si="98"/>
        <v>1</v>
      </c>
      <c r="AZ74" s="170">
        <f t="shared" si="99"/>
        <v>0</v>
      </c>
      <c r="BA74" s="171">
        <f t="shared" si="100"/>
        <v>83.23327583999999</v>
      </c>
      <c r="BB74" s="171">
        <f t="shared" si="101"/>
        <v>93.504764144000006</v>
      </c>
      <c r="BC74" s="171">
        <f t="shared" si="102"/>
        <v>10.271488304000016</v>
      </c>
      <c r="BD74" s="171">
        <f t="shared" si="103"/>
        <v>77.61479521600009</v>
      </c>
    </row>
    <row r="75" spans="1:56">
      <c r="A75" s="587" t="str">
        <f>'BANCO DADOS-CUSTO TOTAL'!C89</f>
        <v>Lavras</v>
      </c>
      <c r="B75" s="588" t="str">
        <f>'BANCO DADOS-CUSTO TOTAL'!H89</f>
        <v>BELTRANO 12400</v>
      </c>
      <c r="C75" s="588" t="str">
        <f>'BANCO DADOS-CUSTO TOTAL'!I89</f>
        <v>VIGILANTE ARMADO - 220 H</v>
      </c>
      <c r="D75" s="172"/>
      <c r="E75" s="172"/>
      <c r="F75" s="167">
        <v>42370</v>
      </c>
      <c r="G75" s="167">
        <v>42399</v>
      </c>
      <c r="H75" s="168">
        <f t="shared" si="64"/>
        <v>2035.8</v>
      </c>
      <c r="I75" s="169">
        <f>'BANCO DADOS-CUSTO TOTAL'!Y89</f>
        <v>2287.0300000000002</v>
      </c>
      <c r="J75" s="170">
        <f t="shared" si="65"/>
        <v>30</v>
      </c>
      <c r="K75" s="170">
        <f t="shared" si="66"/>
        <v>1</v>
      </c>
      <c r="L75" s="170">
        <f t="shared" si="67"/>
        <v>0</v>
      </c>
      <c r="M75" s="171">
        <f t="shared" si="68"/>
        <v>169.58213999999998</v>
      </c>
      <c r="N75" s="171">
        <f t="shared" si="69"/>
        <v>190.50959900000001</v>
      </c>
      <c r="O75" s="171">
        <f t="shared" si="70"/>
        <v>20.927459000000027</v>
      </c>
      <c r="P75" s="167">
        <f t="shared" si="23"/>
        <v>42370</v>
      </c>
      <c r="Q75" s="167">
        <f t="shared" si="24"/>
        <v>42399</v>
      </c>
      <c r="R75" s="168">
        <f t="shared" si="71"/>
        <v>2035.8</v>
      </c>
      <c r="S75" s="169">
        <f t="shared" si="72"/>
        <v>2287.0300000000002</v>
      </c>
      <c r="T75" s="170">
        <f t="shared" si="73"/>
        <v>30</v>
      </c>
      <c r="U75" s="170">
        <f t="shared" si="74"/>
        <v>1</v>
      </c>
      <c r="V75" s="170">
        <f t="shared" si="75"/>
        <v>0</v>
      </c>
      <c r="W75" s="171">
        <f t="shared" si="76"/>
        <v>226.17738</v>
      </c>
      <c r="X75" s="171">
        <f t="shared" si="77"/>
        <v>254.08903300000003</v>
      </c>
      <c r="Y75" s="171">
        <f t="shared" si="78"/>
        <v>27.91165300000003</v>
      </c>
      <c r="Z75" s="167">
        <f t="shared" si="33"/>
        <v>42370</v>
      </c>
      <c r="AA75" s="167">
        <f t="shared" si="34"/>
        <v>42399</v>
      </c>
      <c r="AB75" s="168">
        <f t="shared" si="79"/>
        <v>2035.8</v>
      </c>
      <c r="AC75" s="169">
        <f t="shared" si="80"/>
        <v>2287.0300000000002</v>
      </c>
      <c r="AD75" s="170">
        <f t="shared" si="81"/>
        <v>30</v>
      </c>
      <c r="AE75" s="170">
        <f t="shared" si="82"/>
        <v>1</v>
      </c>
      <c r="AF75" s="170">
        <f t="shared" si="83"/>
        <v>0</v>
      </c>
      <c r="AG75" s="171">
        <f t="shared" si="84"/>
        <v>87.539399999999986</v>
      </c>
      <c r="AH75" s="171">
        <f t="shared" si="85"/>
        <v>98.342290000000006</v>
      </c>
      <c r="AI75" s="171">
        <f t="shared" si="86"/>
        <v>10.802890000000019</v>
      </c>
      <c r="AJ75" s="167">
        <f t="shared" si="43"/>
        <v>42370</v>
      </c>
      <c r="AK75" s="167">
        <f t="shared" si="44"/>
        <v>42399</v>
      </c>
      <c r="AL75" s="168">
        <f t="shared" si="87"/>
        <v>2035.8</v>
      </c>
      <c r="AM75" s="169">
        <f t="shared" si="88"/>
        <v>2287.0300000000002</v>
      </c>
      <c r="AN75" s="170">
        <f t="shared" si="89"/>
        <v>30</v>
      </c>
      <c r="AO75" s="170">
        <f t="shared" si="90"/>
        <v>1</v>
      </c>
      <c r="AP75" s="170">
        <f t="shared" si="91"/>
        <v>0</v>
      </c>
      <c r="AQ75" s="171">
        <f t="shared" si="92"/>
        <v>62.406227519999995</v>
      </c>
      <c r="AR75" s="171">
        <f t="shared" si="93"/>
        <v>70.107532431999999</v>
      </c>
      <c r="AS75" s="171">
        <f t="shared" si="94"/>
        <v>7.7013049120000048</v>
      </c>
      <c r="AT75" s="167">
        <f t="shared" si="53"/>
        <v>42370</v>
      </c>
      <c r="AU75" s="167">
        <f t="shared" si="54"/>
        <v>42399</v>
      </c>
      <c r="AV75" s="168">
        <f t="shared" si="95"/>
        <v>2035.8</v>
      </c>
      <c r="AW75" s="169">
        <f t="shared" si="96"/>
        <v>2287.0300000000002</v>
      </c>
      <c r="AX75" s="170">
        <f t="shared" si="97"/>
        <v>30</v>
      </c>
      <c r="AY75" s="170">
        <f t="shared" si="98"/>
        <v>1</v>
      </c>
      <c r="AZ75" s="170">
        <f t="shared" si="99"/>
        <v>0</v>
      </c>
      <c r="BA75" s="171">
        <f t="shared" si="100"/>
        <v>83.23327583999999</v>
      </c>
      <c r="BB75" s="171">
        <f t="shared" si="101"/>
        <v>93.504764144000006</v>
      </c>
      <c r="BC75" s="171">
        <f t="shared" si="102"/>
        <v>10.271488304000016</v>
      </c>
      <c r="BD75" s="171">
        <f t="shared" si="103"/>
        <v>77.61479521600009</v>
      </c>
    </row>
    <row r="76" spans="1:56">
      <c r="A76" s="587" t="str">
        <f>'BANCO DADOS-CUSTO TOTAL'!C91</f>
        <v>Matozinhos</v>
      </c>
      <c r="B76" s="588" t="str">
        <f>'BANCO DADOS-CUSTO TOTAL'!H91</f>
        <v>BELTRANO 12401</v>
      </c>
      <c r="C76" s="588" t="str">
        <f>'BANCO DADOS-CUSTO TOTAL'!I91</f>
        <v>VIGILANTE ARMADO - 220 H</v>
      </c>
      <c r="D76" s="172"/>
      <c r="E76" s="172"/>
      <c r="F76" s="167">
        <v>42370</v>
      </c>
      <c r="G76" s="167">
        <v>42399</v>
      </c>
      <c r="H76" s="168">
        <f t="shared" si="64"/>
        <v>2035.8</v>
      </c>
      <c r="I76" s="169">
        <f>'BANCO DADOS-CUSTO TOTAL'!Y91</f>
        <v>2287.0300000000002</v>
      </c>
      <c r="J76" s="170">
        <f t="shared" si="65"/>
        <v>30</v>
      </c>
      <c r="K76" s="170">
        <f t="shared" si="66"/>
        <v>1</v>
      </c>
      <c r="L76" s="170">
        <f t="shared" si="67"/>
        <v>0</v>
      </c>
      <c r="M76" s="171">
        <f t="shared" si="68"/>
        <v>169.58213999999998</v>
      </c>
      <c r="N76" s="171">
        <f t="shared" si="69"/>
        <v>190.50959900000001</v>
      </c>
      <c r="O76" s="171">
        <f t="shared" si="70"/>
        <v>20.927459000000027</v>
      </c>
      <c r="P76" s="167">
        <f t="shared" ref="P76:P123" si="104">F76</f>
        <v>42370</v>
      </c>
      <c r="Q76" s="167">
        <f t="shared" ref="Q76:Q123" si="105">G76</f>
        <v>42399</v>
      </c>
      <c r="R76" s="168">
        <f t="shared" si="71"/>
        <v>2035.8</v>
      </c>
      <c r="S76" s="169">
        <f t="shared" si="72"/>
        <v>2287.0300000000002</v>
      </c>
      <c r="T76" s="170">
        <f t="shared" si="73"/>
        <v>30</v>
      </c>
      <c r="U76" s="170">
        <f t="shared" si="74"/>
        <v>1</v>
      </c>
      <c r="V76" s="170">
        <f t="shared" si="75"/>
        <v>0</v>
      </c>
      <c r="W76" s="171">
        <f t="shared" si="76"/>
        <v>226.17738</v>
      </c>
      <c r="X76" s="171">
        <f t="shared" si="77"/>
        <v>254.08903300000003</v>
      </c>
      <c r="Y76" s="171">
        <f t="shared" si="78"/>
        <v>27.91165300000003</v>
      </c>
      <c r="Z76" s="167">
        <f t="shared" ref="Z76:Z123" si="106">F76</f>
        <v>42370</v>
      </c>
      <c r="AA76" s="167">
        <f t="shared" ref="AA76:AA123" si="107">G76</f>
        <v>42399</v>
      </c>
      <c r="AB76" s="168">
        <f t="shared" si="79"/>
        <v>2035.8</v>
      </c>
      <c r="AC76" s="169">
        <f t="shared" si="80"/>
        <v>2287.0300000000002</v>
      </c>
      <c r="AD76" s="170">
        <f t="shared" si="81"/>
        <v>30</v>
      </c>
      <c r="AE76" s="170">
        <f t="shared" si="82"/>
        <v>1</v>
      </c>
      <c r="AF76" s="170">
        <f t="shared" si="83"/>
        <v>0</v>
      </c>
      <c r="AG76" s="171">
        <f t="shared" si="84"/>
        <v>87.539399999999986</v>
      </c>
      <c r="AH76" s="171">
        <f t="shared" si="85"/>
        <v>98.342290000000006</v>
      </c>
      <c r="AI76" s="171">
        <f t="shared" si="86"/>
        <v>10.802890000000019</v>
      </c>
      <c r="AJ76" s="167">
        <f t="shared" ref="AJ76:AJ123" si="108">F76</f>
        <v>42370</v>
      </c>
      <c r="AK76" s="167">
        <f t="shared" ref="AK76:AK123" si="109">G76</f>
        <v>42399</v>
      </c>
      <c r="AL76" s="168">
        <f t="shared" si="87"/>
        <v>2035.8</v>
      </c>
      <c r="AM76" s="169">
        <f t="shared" si="88"/>
        <v>2287.0300000000002</v>
      </c>
      <c r="AN76" s="170">
        <f t="shared" si="89"/>
        <v>30</v>
      </c>
      <c r="AO76" s="170">
        <f t="shared" si="90"/>
        <v>1</v>
      </c>
      <c r="AP76" s="170">
        <f t="shared" si="91"/>
        <v>0</v>
      </c>
      <c r="AQ76" s="171">
        <f t="shared" si="92"/>
        <v>62.406227519999995</v>
      </c>
      <c r="AR76" s="171">
        <f t="shared" si="93"/>
        <v>70.107532431999999</v>
      </c>
      <c r="AS76" s="171">
        <f t="shared" si="94"/>
        <v>7.7013049120000048</v>
      </c>
      <c r="AT76" s="167">
        <f t="shared" ref="AT76:AT123" si="110">F76</f>
        <v>42370</v>
      </c>
      <c r="AU76" s="167">
        <f t="shared" ref="AU76:AU123" si="111">G76</f>
        <v>42399</v>
      </c>
      <c r="AV76" s="168">
        <f t="shared" si="95"/>
        <v>2035.8</v>
      </c>
      <c r="AW76" s="169">
        <f t="shared" si="96"/>
        <v>2287.0300000000002</v>
      </c>
      <c r="AX76" s="170">
        <f t="shared" si="97"/>
        <v>30</v>
      </c>
      <c r="AY76" s="170">
        <f t="shared" si="98"/>
        <v>1</v>
      </c>
      <c r="AZ76" s="170">
        <f t="shared" si="99"/>
        <v>0</v>
      </c>
      <c r="BA76" s="171">
        <f t="shared" si="100"/>
        <v>83.23327583999999</v>
      </c>
      <c r="BB76" s="171">
        <f t="shared" si="101"/>
        <v>93.504764144000006</v>
      </c>
      <c r="BC76" s="171">
        <f t="shared" si="102"/>
        <v>10.271488304000016</v>
      </c>
      <c r="BD76" s="171">
        <f t="shared" si="103"/>
        <v>77.61479521600009</v>
      </c>
    </row>
    <row r="77" spans="1:56">
      <c r="A77" s="587" t="str">
        <f>'BANCO DADOS-CUSTO TOTAL'!C93</f>
        <v>Monte Carmelo</v>
      </c>
      <c r="B77" s="588" t="str">
        <f>'BANCO DADOS-CUSTO TOTAL'!H93</f>
        <v>BELTRANO 12402</v>
      </c>
      <c r="C77" s="588" t="str">
        <f>'BANCO DADOS-CUSTO TOTAL'!I93</f>
        <v>VIGILANTE ARMADO - 12X36 DIURNO</v>
      </c>
      <c r="D77" s="172"/>
      <c r="E77" s="172"/>
      <c r="F77" s="167">
        <v>42370</v>
      </c>
      <c r="G77" s="167">
        <v>42399</v>
      </c>
      <c r="H77" s="168">
        <f t="shared" si="64"/>
        <v>1869.08</v>
      </c>
      <c r="I77" s="169">
        <f>'BANCO DADOS-CUSTO TOTAL'!Y93</f>
        <v>2277.88</v>
      </c>
      <c r="J77" s="170">
        <f t="shared" si="65"/>
        <v>30</v>
      </c>
      <c r="K77" s="170">
        <f t="shared" si="66"/>
        <v>1</v>
      </c>
      <c r="L77" s="170">
        <f t="shared" si="67"/>
        <v>0</v>
      </c>
      <c r="M77" s="171">
        <f t="shared" si="68"/>
        <v>155.69436399999998</v>
      </c>
      <c r="N77" s="171">
        <f t="shared" si="69"/>
        <v>189.74740400000002</v>
      </c>
      <c r="O77" s="171">
        <f t="shared" si="70"/>
        <v>34.053040000000038</v>
      </c>
      <c r="P77" s="167">
        <f t="shared" si="104"/>
        <v>42370</v>
      </c>
      <c r="Q77" s="167">
        <f t="shared" si="105"/>
        <v>42399</v>
      </c>
      <c r="R77" s="168">
        <f t="shared" si="71"/>
        <v>1869.08</v>
      </c>
      <c r="S77" s="169">
        <f t="shared" si="72"/>
        <v>2277.88</v>
      </c>
      <c r="T77" s="170">
        <f t="shared" si="73"/>
        <v>30</v>
      </c>
      <c r="U77" s="170">
        <f t="shared" si="74"/>
        <v>1</v>
      </c>
      <c r="V77" s="170">
        <f t="shared" si="75"/>
        <v>0</v>
      </c>
      <c r="W77" s="171">
        <f t="shared" si="76"/>
        <v>207.654788</v>
      </c>
      <c r="X77" s="171">
        <f t="shared" si="77"/>
        <v>253.07246800000001</v>
      </c>
      <c r="Y77" s="171">
        <f t="shared" si="78"/>
        <v>45.417680000000018</v>
      </c>
      <c r="Z77" s="167">
        <f t="shared" si="106"/>
        <v>42370</v>
      </c>
      <c r="AA77" s="167">
        <f t="shared" si="107"/>
        <v>42399</v>
      </c>
      <c r="AB77" s="168">
        <f t="shared" si="79"/>
        <v>1869.08</v>
      </c>
      <c r="AC77" s="169">
        <f t="shared" si="80"/>
        <v>2277.88</v>
      </c>
      <c r="AD77" s="170">
        <f t="shared" si="81"/>
        <v>30</v>
      </c>
      <c r="AE77" s="170">
        <f t="shared" si="82"/>
        <v>1</v>
      </c>
      <c r="AF77" s="170">
        <f t="shared" si="83"/>
        <v>0</v>
      </c>
      <c r="AG77" s="171">
        <f t="shared" si="84"/>
        <v>80.370439999999988</v>
      </c>
      <c r="AH77" s="171">
        <f t="shared" si="85"/>
        <v>97.94883999999999</v>
      </c>
      <c r="AI77" s="171">
        <f t="shared" si="86"/>
        <v>17.578400000000002</v>
      </c>
      <c r="AJ77" s="167">
        <f t="shared" si="108"/>
        <v>42370</v>
      </c>
      <c r="AK77" s="167">
        <f t="shared" si="109"/>
        <v>42399</v>
      </c>
      <c r="AL77" s="168">
        <f t="shared" si="87"/>
        <v>1869.08</v>
      </c>
      <c r="AM77" s="169">
        <f t="shared" si="88"/>
        <v>2277.88</v>
      </c>
      <c r="AN77" s="170">
        <f t="shared" si="89"/>
        <v>30</v>
      </c>
      <c r="AO77" s="170">
        <f t="shared" si="90"/>
        <v>1</v>
      </c>
      <c r="AP77" s="170">
        <f t="shared" si="91"/>
        <v>0</v>
      </c>
      <c r="AQ77" s="171">
        <f t="shared" si="92"/>
        <v>57.295525951999991</v>
      </c>
      <c r="AR77" s="171">
        <f t="shared" si="93"/>
        <v>69.827044672</v>
      </c>
      <c r="AS77" s="171">
        <f t="shared" si="94"/>
        <v>12.531518720000008</v>
      </c>
      <c r="AT77" s="167">
        <f t="shared" si="110"/>
        <v>42370</v>
      </c>
      <c r="AU77" s="167">
        <f t="shared" si="111"/>
        <v>42399</v>
      </c>
      <c r="AV77" s="168">
        <f t="shared" si="95"/>
        <v>1869.08</v>
      </c>
      <c r="AW77" s="169">
        <f t="shared" si="96"/>
        <v>2277.88</v>
      </c>
      <c r="AX77" s="170">
        <f t="shared" si="97"/>
        <v>30</v>
      </c>
      <c r="AY77" s="170">
        <f t="shared" si="98"/>
        <v>1</v>
      </c>
      <c r="AZ77" s="170">
        <f t="shared" si="99"/>
        <v>0</v>
      </c>
      <c r="BA77" s="171">
        <f t="shared" si="100"/>
        <v>76.416961983999997</v>
      </c>
      <c r="BB77" s="171">
        <f t="shared" si="101"/>
        <v>93.130668224000004</v>
      </c>
      <c r="BC77" s="171">
        <f t="shared" si="102"/>
        <v>16.713706240000008</v>
      </c>
      <c r="BD77" s="171">
        <f t="shared" si="103"/>
        <v>126.29434496000007</v>
      </c>
    </row>
    <row r="78" spans="1:56">
      <c r="A78" s="587" t="str">
        <f>'BANCO DADOS-CUSTO TOTAL'!C94</f>
        <v>Monte Carmelo</v>
      </c>
      <c r="B78" s="588" t="str">
        <f>'BANCO DADOS-CUSTO TOTAL'!H94</f>
        <v>BELTRANO 12403</v>
      </c>
      <c r="C78" s="588" t="str">
        <f>'BANCO DADOS-CUSTO TOTAL'!I94</f>
        <v>VIGILANTE ARMADO - 12X36 DIURNO</v>
      </c>
      <c r="D78" s="172"/>
      <c r="E78" s="172"/>
      <c r="F78" s="167">
        <v>42370</v>
      </c>
      <c r="G78" s="167">
        <v>42399</v>
      </c>
      <c r="H78" s="168">
        <f t="shared" si="64"/>
        <v>1869.08</v>
      </c>
      <c r="I78" s="169">
        <f>'BANCO DADOS-CUSTO TOTAL'!Y94</f>
        <v>2277.88</v>
      </c>
      <c r="J78" s="170">
        <f t="shared" si="65"/>
        <v>30</v>
      </c>
      <c r="K78" s="170">
        <f t="shared" si="66"/>
        <v>1</v>
      </c>
      <c r="L78" s="170">
        <f t="shared" si="67"/>
        <v>0</v>
      </c>
      <c r="M78" s="171">
        <f t="shared" si="68"/>
        <v>155.69436399999998</v>
      </c>
      <c r="N78" s="171">
        <f t="shared" si="69"/>
        <v>189.74740400000002</v>
      </c>
      <c r="O78" s="171">
        <f t="shared" si="70"/>
        <v>34.053040000000038</v>
      </c>
      <c r="P78" s="167">
        <f t="shared" si="104"/>
        <v>42370</v>
      </c>
      <c r="Q78" s="167">
        <f t="shared" si="105"/>
        <v>42399</v>
      </c>
      <c r="R78" s="168">
        <f t="shared" si="71"/>
        <v>1869.08</v>
      </c>
      <c r="S78" s="169">
        <f t="shared" si="72"/>
        <v>2277.88</v>
      </c>
      <c r="T78" s="170">
        <f t="shared" si="73"/>
        <v>30</v>
      </c>
      <c r="U78" s="170">
        <f t="shared" si="74"/>
        <v>1</v>
      </c>
      <c r="V78" s="170">
        <f t="shared" si="75"/>
        <v>0</v>
      </c>
      <c r="W78" s="171">
        <f t="shared" si="76"/>
        <v>207.654788</v>
      </c>
      <c r="X78" s="171">
        <f t="shared" si="77"/>
        <v>253.07246800000001</v>
      </c>
      <c r="Y78" s="171">
        <f t="shared" si="78"/>
        <v>45.417680000000018</v>
      </c>
      <c r="Z78" s="167">
        <f t="shared" si="106"/>
        <v>42370</v>
      </c>
      <c r="AA78" s="167">
        <f t="shared" si="107"/>
        <v>42399</v>
      </c>
      <c r="AB78" s="168">
        <f t="shared" si="79"/>
        <v>1869.08</v>
      </c>
      <c r="AC78" s="169">
        <f t="shared" si="80"/>
        <v>2277.88</v>
      </c>
      <c r="AD78" s="170">
        <f t="shared" si="81"/>
        <v>30</v>
      </c>
      <c r="AE78" s="170">
        <f t="shared" si="82"/>
        <v>1</v>
      </c>
      <c r="AF78" s="170">
        <f t="shared" si="83"/>
        <v>0</v>
      </c>
      <c r="AG78" s="171">
        <f t="shared" si="84"/>
        <v>80.370439999999988</v>
      </c>
      <c r="AH78" s="171">
        <f t="shared" si="85"/>
        <v>97.94883999999999</v>
      </c>
      <c r="AI78" s="171">
        <f t="shared" si="86"/>
        <v>17.578400000000002</v>
      </c>
      <c r="AJ78" s="167">
        <f t="shared" si="108"/>
        <v>42370</v>
      </c>
      <c r="AK78" s="167">
        <f t="shared" si="109"/>
        <v>42399</v>
      </c>
      <c r="AL78" s="168">
        <f t="shared" si="87"/>
        <v>1869.08</v>
      </c>
      <c r="AM78" s="169">
        <f t="shared" si="88"/>
        <v>2277.88</v>
      </c>
      <c r="AN78" s="170">
        <f t="shared" si="89"/>
        <v>30</v>
      </c>
      <c r="AO78" s="170">
        <f t="shared" si="90"/>
        <v>1</v>
      </c>
      <c r="AP78" s="170">
        <f t="shared" si="91"/>
        <v>0</v>
      </c>
      <c r="AQ78" s="171">
        <f t="shared" si="92"/>
        <v>57.295525951999991</v>
      </c>
      <c r="AR78" s="171">
        <f t="shared" si="93"/>
        <v>69.827044672</v>
      </c>
      <c r="AS78" s="171">
        <f t="shared" si="94"/>
        <v>12.531518720000008</v>
      </c>
      <c r="AT78" s="167">
        <f t="shared" si="110"/>
        <v>42370</v>
      </c>
      <c r="AU78" s="167">
        <f t="shared" si="111"/>
        <v>42399</v>
      </c>
      <c r="AV78" s="168">
        <f t="shared" si="95"/>
        <v>1869.08</v>
      </c>
      <c r="AW78" s="169">
        <f t="shared" si="96"/>
        <v>2277.88</v>
      </c>
      <c r="AX78" s="170">
        <f t="shared" si="97"/>
        <v>30</v>
      </c>
      <c r="AY78" s="170">
        <f t="shared" si="98"/>
        <v>1</v>
      </c>
      <c r="AZ78" s="170">
        <f t="shared" si="99"/>
        <v>0</v>
      </c>
      <c r="BA78" s="171">
        <f t="shared" si="100"/>
        <v>76.416961983999997</v>
      </c>
      <c r="BB78" s="171">
        <f t="shared" si="101"/>
        <v>93.130668224000004</v>
      </c>
      <c r="BC78" s="171">
        <f t="shared" si="102"/>
        <v>16.713706240000008</v>
      </c>
      <c r="BD78" s="171">
        <f t="shared" si="103"/>
        <v>126.29434496000007</v>
      </c>
    </row>
    <row r="79" spans="1:56">
      <c r="A79" s="587" t="str">
        <f>'BANCO DADOS-CUSTO TOTAL'!C96</f>
        <v>Montes Claros</v>
      </c>
      <c r="B79" s="588" t="str">
        <f>'BANCO DADOS-CUSTO TOTAL'!H96</f>
        <v>BELTRANO 12404</v>
      </c>
      <c r="C79" s="588" t="str">
        <f>'BANCO DADOS-CUSTO TOTAL'!I96</f>
        <v>VIGILANTE ARMADO - 12X36 DIURNO</v>
      </c>
      <c r="D79" s="172"/>
      <c r="E79" s="172"/>
      <c r="F79" s="167">
        <v>42370</v>
      </c>
      <c r="G79" s="167">
        <v>42399</v>
      </c>
      <c r="H79" s="168">
        <f t="shared" si="64"/>
        <v>1869.08</v>
      </c>
      <c r="I79" s="169">
        <f>'BANCO DADOS-CUSTO TOTAL'!Y96</f>
        <v>2277.88</v>
      </c>
      <c r="J79" s="170">
        <f t="shared" si="65"/>
        <v>30</v>
      </c>
      <c r="K79" s="170">
        <f t="shared" si="66"/>
        <v>1</v>
      </c>
      <c r="L79" s="170">
        <f t="shared" si="67"/>
        <v>0</v>
      </c>
      <c r="M79" s="171">
        <f t="shared" si="68"/>
        <v>155.69436399999998</v>
      </c>
      <c r="N79" s="171">
        <f t="shared" si="69"/>
        <v>189.74740400000002</v>
      </c>
      <c r="O79" s="171">
        <f t="shared" si="70"/>
        <v>34.053040000000038</v>
      </c>
      <c r="P79" s="167">
        <f t="shared" si="104"/>
        <v>42370</v>
      </c>
      <c r="Q79" s="167">
        <f t="shared" si="105"/>
        <v>42399</v>
      </c>
      <c r="R79" s="168">
        <f t="shared" si="71"/>
        <v>1869.08</v>
      </c>
      <c r="S79" s="169">
        <f t="shared" si="72"/>
        <v>2277.88</v>
      </c>
      <c r="T79" s="170">
        <f t="shared" si="73"/>
        <v>30</v>
      </c>
      <c r="U79" s="170">
        <f t="shared" si="74"/>
        <v>1</v>
      </c>
      <c r="V79" s="170">
        <f t="shared" si="75"/>
        <v>0</v>
      </c>
      <c r="W79" s="171">
        <f t="shared" si="76"/>
        <v>207.654788</v>
      </c>
      <c r="X79" s="171">
        <f t="shared" si="77"/>
        <v>253.07246800000001</v>
      </c>
      <c r="Y79" s="171">
        <f t="shared" si="78"/>
        <v>45.417680000000018</v>
      </c>
      <c r="Z79" s="167">
        <f t="shared" si="106"/>
        <v>42370</v>
      </c>
      <c r="AA79" s="167">
        <f t="shared" si="107"/>
        <v>42399</v>
      </c>
      <c r="AB79" s="168">
        <f t="shared" si="79"/>
        <v>1869.08</v>
      </c>
      <c r="AC79" s="169">
        <f t="shared" si="80"/>
        <v>2277.88</v>
      </c>
      <c r="AD79" s="170">
        <f t="shared" si="81"/>
        <v>30</v>
      </c>
      <c r="AE79" s="170">
        <f t="shared" si="82"/>
        <v>1</v>
      </c>
      <c r="AF79" s="170">
        <f t="shared" si="83"/>
        <v>0</v>
      </c>
      <c r="AG79" s="171">
        <f t="shared" si="84"/>
        <v>80.370439999999988</v>
      </c>
      <c r="AH79" s="171">
        <f t="shared" si="85"/>
        <v>97.94883999999999</v>
      </c>
      <c r="AI79" s="171">
        <f t="shared" si="86"/>
        <v>17.578400000000002</v>
      </c>
      <c r="AJ79" s="167">
        <f t="shared" si="108"/>
        <v>42370</v>
      </c>
      <c r="AK79" s="167">
        <f t="shared" si="109"/>
        <v>42399</v>
      </c>
      <c r="AL79" s="168">
        <f t="shared" si="87"/>
        <v>1869.08</v>
      </c>
      <c r="AM79" s="169">
        <f t="shared" si="88"/>
        <v>2277.88</v>
      </c>
      <c r="AN79" s="170">
        <f t="shared" si="89"/>
        <v>30</v>
      </c>
      <c r="AO79" s="170">
        <f t="shared" si="90"/>
        <v>1</v>
      </c>
      <c r="AP79" s="170">
        <f t="shared" si="91"/>
        <v>0</v>
      </c>
      <c r="AQ79" s="171">
        <f t="shared" si="92"/>
        <v>57.295525951999991</v>
      </c>
      <c r="AR79" s="171">
        <f t="shared" si="93"/>
        <v>69.827044672</v>
      </c>
      <c r="AS79" s="171">
        <f t="shared" si="94"/>
        <v>12.531518720000008</v>
      </c>
      <c r="AT79" s="167">
        <f t="shared" si="110"/>
        <v>42370</v>
      </c>
      <c r="AU79" s="167">
        <f t="shared" si="111"/>
        <v>42399</v>
      </c>
      <c r="AV79" s="168">
        <f t="shared" si="95"/>
        <v>1869.08</v>
      </c>
      <c r="AW79" s="169">
        <f t="shared" si="96"/>
        <v>2277.88</v>
      </c>
      <c r="AX79" s="170">
        <f t="shared" si="97"/>
        <v>30</v>
      </c>
      <c r="AY79" s="170">
        <f t="shared" si="98"/>
        <v>1</v>
      </c>
      <c r="AZ79" s="170">
        <f t="shared" si="99"/>
        <v>0</v>
      </c>
      <c r="BA79" s="171">
        <f t="shared" si="100"/>
        <v>76.416961983999997</v>
      </c>
      <c r="BB79" s="171">
        <f t="shared" si="101"/>
        <v>93.130668224000004</v>
      </c>
      <c r="BC79" s="171">
        <f t="shared" si="102"/>
        <v>16.713706240000008</v>
      </c>
      <c r="BD79" s="171">
        <f t="shared" si="103"/>
        <v>126.29434496000007</v>
      </c>
    </row>
    <row r="80" spans="1:56">
      <c r="A80" s="587" t="str">
        <f>'BANCO DADOS-CUSTO TOTAL'!C97</f>
        <v>Montes Claros</v>
      </c>
      <c r="B80" s="588" t="str">
        <f>'BANCO DADOS-CUSTO TOTAL'!H97</f>
        <v>BELTRANO 12405</v>
      </c>
      <c r="C80" s="588" t="str">
        <f>'BANCO DADOS-CUSTO TOTAL'!I97</f>
        <v>VIGILANTE ARMADO - 12X36 DIURNO</v>
      </c>
      <c r="D80" s="172"/>
      <c r="E80" s="172"/>
      <c r="F80" s="167">
        <v>42370</v>
      </c>
      <c r="G80" s="167">
        <v>42399</v>
      </c>
      <c r="H80" s="168">
        <f t="shared" si="64"/>
        <v>1869.08</v>
      </c>
      <c r="I80" s="169">
        <f>'BANCO DADOS-CUSTO TOTAL'!Y97</f>
        <v>2277.88</v>
      </c>
      <c r="J80" s="170">
        <f t="shared" si="65"/>
        <v>30</v>
      </c>
      <c r="K80" s="170">
        <f t="shared" si="66"/>
        <v>1</v>
      </c>
      <c r="L80" s="170">
        <f t="shared" si="67"/>
        <v>0</v>
      </c>
      <c r="M80" s="171">
        <f t="shared" si="68"/>
        <v>155.69436399999998</v>
      </c>
      <c r="N80" s="171">
        <f t="shared" si="69"/>
        <v>189.74740400000002</v>
      </c>
      <c r="O80" s="171">
        <f t="shared" si="70"/>
        <v>34.053040000000038</v>
      </c>
      <c r="P80" s="167">
        <f t="shared" si="104"/>
        <v>42370</v>
      </c>
      <c r="Q80" s="167">
        <f t="shared" si="105"/>
        <v>42399</v>
      </c>
      <c r="R80" s="168">
        <f t="shared" si="71"/>
        <v>1869.08</v>
      </c>
      <c r="S80" s="169">
        <f t="shared" si="72"/>
        <v>2277.88</v>
      </c>
      <c r="T80" s="170">
        <f t="shared" si="73"/>
        <v>30</v>
      </c>
      <c r="U80" s="170">
        <f t="shared" si="74"/>
        <v>1</v>
      </c>
      <c r="V80" s="170">
        <f t="shared" si="75"/>
        <v>0</v>
      </c>
      <c r="W80" s="171">
        <f t="shared" si="76"/>
        <v>207.654788</v>
      </c>
      <c r="X80" s="171">
        <f t="shared" si="77"/>
        <v>253.07246800000001</v>
      </c>
      <c r="Y80" s="171">
        <f t="shared" si="78"/>
        <v>45.417680000000018</v>
      </c>
      <c r="Z80" s="167">
        <f t="shared" si="106"/>
        <v>42370</v>
      </c>
      <c r="AA80" s="167">
        <f t="shared" si="107"/>
        <v>42399</v>
      </c>
      <c r="AB80" s="168">
        <f t="shared" si="79"/>
        <v>1869.08</v>
      </c>
      <c r="AC80" s="169">
        <f t="shared" si="80"/>
        <v>2277.88</v>
      </c>
      <c r="AD80" s="170">
        <f t="shared" si="81"/>
        <v>30</v>
      </c>
      <c r="AE80" s="170">
        <f t="shared" si="82"/>
        <v>1</v>
      </c>
      <c r="AF80" s="170">
        <f t="shared" si="83"/>
        <v>0</v>
      </c>
      <c r="AG80" s="171">
        <f t="shared" si="84"/>
        <v>80.370439999999988</v>
      </c>
      <c r="AH80" s="171">
        <f t="shared" si="85"/>
        <v>97.94883999999999</v>
      </c>
      <c r="AI80" s="171">
        <f t="shared" si="86"/>
        <v>17.578400000000002</v>
      </c>
      <c r="AJ80" s="167">
        <f t="shared" si="108"/>
        <v>42370</v>
      </c>
      <c r="AK80" s="167">
        <f t="shared" si="109"/>
        <v>42399</v>
      </c>
      <c r="AL80" s="168">
        <f t="shared" si="87"/>
        <v>1869.08</v>
      </c>
      <c r="AM80" s="169">
        <f t="shared" si="88"/>
        <v>2277.88</v>
      </c>
      <c r="AN80" s="170">
        <f t="shared" si="89"/>
        <v>30</v>
      </c>
      <c r="AO80" s="170">
        <f t="shared" si="90"/>
        <v>1</v>
      </c>
      <c r="AP80" s="170">
        <f t="shared" si="91"/>
        <v>0</v>
      </c>
      <c r="AQ80" s="171">
        <f t="shared" si="92"/>
        <v>57.295525951999991</v>
      </c>
      <c r="AR80" s="171">
        <f t="shared" si="93"/>
        <v>69.827044672</v>
      </c>
      <c r="AS80" s="171">
        <f t="shared" si="94"/>
        <v>12.531518720000008</v>
      </c>
      <c r="AT80" s="167">
        <f t="shared" si="110"/>
        <v>42370</v>
      </c>
      <c r="AU80" s="167">
        <f t="shared" si="111"/>
        <v>42399</v>
      </c>
      <c r="AV80" s="168">
        <f t="shared" si="95"/>
        <v>1869.08</v>
      </c>
      <c r="AW80" s="169">
        <f t="shared" si="96"/>
        <v>2277.88</v>
      </c>
      <c r="AX80" s="170">
        <f t="shared" si="97"/>
        <v>30</v>
      </c>
      <c r="AY80" s="170">
        <f t="shared" si="98"/>
        <v>1</v>
      </c>
      <c r="AZ80" s="170">
        <f t="shared" si="99"/>
        <v>0</v>
      </c>
      <c r="BA80" s="171">
        <f t="shared" si="100"/>
        <v>76.416961983999997</v>
      </c>
      <c r="BB80" s="171">
        <f t="shared" si="101"/>
        <v>93.130668224000004</v>
      </c>
      <c r="BC80" s="171">
        <f t="shared" si="102"/>
        <v>16.713706240000008</v>
      </c>
      <c r="BD80" s="171">
        <f t="shared" si="103"/>
        <v>126.29434496000007</v>
      </c>
    </row>
    <row r="81" spans="1:56">
      <c r="A81" s="587" t="str">
        <f>'BANCO DADOS-CUSTO TOTAL'!C98</f>
        <v>Montes Claros</v>
      </c>
      <c r="B81" s="588" t="str">
        <f>'BANCO DADOS-CUSTO TOTAL'!H98</f>
        <v>BELTRANO 12406</v>
      </c>
      <c r="C81" s="588" t="str">
        <f>'BANCO DADOS-CUSTO TOTAL'!I98</f>
        <v>VIGILANTE ARMADO - 12X36 NOTURNO</v>
      </c>
      <c r="D81" s="172"/>
      <c r="E81" s="172"/>
      <c r="F81" s="167">
        <v>42370</v>
      </c>
      <c r="G81" s="167">
        <v>42399</v>
      </c>
      <c r="H81" s="168">
        <f t="shared" si="64"/>
        <v>2229.92</v>
      </c>
      <c r="I81" s="169">
        <f>'BANCO DADOS-CUSTO TOTAL'!Y98</f>
        <v>2717.9</v>
      </c>
      <c r="J81" s="170">
        <f t="shared" si="65"/>
        <v>30</v>
      </c>
      <c r="K81" s="170">
        <f t="shared" si="66"/>
        <v>1</v>
      </c>
      <c r="L81" s="170">
        <f t="shared" si="67"/>
        <v>0</v>
      </c>
      <c r="M81" s="171">
        <f t="shared" si="68"/>
        <v>185.75233600000001</v>
      </c>
      <c r="N81" s="171">
        <f t="shared" si="69"/>
        <v>226.40107</v>
      </c>
      <c r="O81" s="171">
        <f t="shared" si="70"/>
        <v>40.64873399999999</v>
      </c>
      <c r="P81" s="167">
        <f t="shared" si="104"/>
        <v>42370</v>
      </c>
      <c r="Q81" s="167">
        <f t="shared" si="105"/>
        <v>42399</v>
      </c>
      <c r="R81" s="168">
        <f t="shared" si="71"/>
        <v>2229.92</v>
      </c>
      <c r="S81" s="169">
        <f t="shared" si="72"/>
        <v>2717.9</v>
      </c>
      <c r="T81" s="170">
        <f t="shared" si="73"/>
        <v>30</v>
      </c>
      <c r="U81" s="170">
        <f t="shared" si="74"/>
        <v>1</v>
      </c>
      <c r="V81" s="170">
        <f t="shared" si="75"/>
        <v>0</v>
      </c>
      <c r="W81" s="171">
        <f t="shared" si="76"/>
        <v>247.74411200000003</v>
      </c>
      <c r="X81" s="171">
        <f t="shared" si="77"/>
        <v>301.95869000000005</v>
      </c>
      <c r="Y81" s="171">
        <f t="shared" si="78"/>
        <v>54.214578000000017</v>
      </c>
      <c r="Z81" s="167">
        <f t="shared" si="106"/>
        <v>42370</v>
      </c>
      <c r="AA81" s="167">
        <f t="shared" si="107"/>
        <v>42399</v>
      </c>
      <c r="AB81" s="168">
        <f t="shared" si="79"/>
        <v>2229.92</v>
      </c>
      <c r="AC81" s="169">
        <f t="shared" si="80"/>
        <v>2717.9</v>
      </c>
      <c r="AD81" s="170">
        <f t="shared" si="81"/>
        <v>30</v>
      </c>
      <c r="AE81" s="170">
        <f t="shared" si="82"/>
        <v>1</v>
      </c>
      <c r="AF81" s="170">
        <f t="shared" si="83"/>
        <v>0</v>
      </c>
      <c r="AG81" s="171">
        <f t="shared" si="84"/>
        <v>95.886559999999989</v>
      </c>
      <c r="AH81" s="171">
        <f t="shared" si="85"/>
        <v>116.86969999999999</v>
      </c>
      <c r="AI81" s="171">
        <f t="shared" si="86"/>
        <v>20.983140000000006</v>
      </c>
      <c r="AJ81" s="167">
        <f t="shared" si="108"/>
        <v>42370</v>
      </c>
      <c r="AK81" s="167">
        <f t="shared" si="109"/>
        <v>42399</v>
      </c>
      <c r="AL81" s="168">
        <f t="shared" si="87"/>
        <v>2229.92</v>
      </c>
      <c r="AM81" s="169">
        <f t="shared" si="88"/>
        <v>2717.9</v>
      </c>
      <c r="AN81" s="170">
        <f t="shared" si="89"/>
        <v>30</v>
      </c>
      <c r="AO81" s="170">
        <f t="shared" si="90"/>
        <v>1</v>
      </c>
      <c r="AP81" s="170">
        <f t="shared" si="91"/>
        <v>0</v>
      </c>
      <c r="AQ81" s="171">
        <f t="shared" si="92"/>
        <v>68.356859647999997</v>
      </c>
      <c r="AR81" s="171">
        <f t="shared" si="93"/>
        <v>83.315593759999999</v>
      </c>
      <c r="AS81" s="171">
        <f t="shared" si="94"/>
        <v>14.958734112000002</v>
      </c>
      <c r="AT81" s="167">
        <f t="shared" si="110"/>
        <v>42370</v>
      </c>
      <c r="AU81" s="167">
        <f t="shared" si="111"/>
        <v>42399</v>
      </c>
      <c r="AV81" s="168">
        <f t="shared" si="95"/>
        <v>2229.92</v>
      </c>
      <c r="AW81" s="169">
        <f t="shared" si="96"/>
        <v>2717.9</v>
      </c>
      <c r="AX81" s="170">
        <f t="shared" si="97"/>
        <v>30</v>
      </c>
      <c r="AY81" s="170">
        <f t="shared" si="98"/>
        <v>1</v>
      </c>
      <c r="AZ81" s="170">
        <f t="shared" si="99"/>
        <v>0</v>
      </c>
      <c r="BA81" s="171">
        <f t="shared" si="100"/>
        <v>91.169833216000001</v>
      </c>
      <c r="BB81" s="171">
        <f t="shared" si="101"/>
        <v>111.12079792</v>
      </c>
      <c r="BC81" s="171">
        <f t="shared" si="102"/>
        <v>19.950964704</v>
      </c>
      <c r="BD81" s="171">
        <f t="shared" si="103"/>
        <v>150.756150816</v>
      </c>
    </row>
    <row r="82" spans="1:56">
      <c r="A82" s="587" t="str">
        <f>'BANCO DADOS-CUSTO TOTAL'!C99</f>
        <v>Montes Claros</v>
      </c>
      <c r="B82" s="588" t="str">
        <f>'BANCO DADOS-CUSTO TOTAL'!H99</f>
        <v>BELTRANO 12407</v>
      </c>
      <c r="C82" s="588" t="str">
        <f>'BANCO DADOS-CUSTO TOTAL'!I99</f>
        <v>VIGILANTE ARMADO - 12X36 NOTURNO</v>
      </c>
      <c r="D82" s="172"/>
      <c r="E82" s="172"/>
      <c r="F82" s="167">
        <v>42370</v>
      </c>
      <c r="G82" s="167">
        <v>42399</v>
      </c>
      <c r="H82" s="168">
        <f t="shared" si="64"/>
        <v>2229.92</v>
      </c>
      <c r="I82" s="169">
        <f>'BANCO DADOS-CUSTO TOTAL'!Y99</f>
        <v>2717.9</v>
      </c>
      <c r="J82" s="170">
        <f t="shared" si="65"/>
        <v>30</v>
      </c>
      <c r="K82" s="170">
        <f t="shared" si="66"/>
        <v>1</v>
      </c>
      <c r="L82" s="170">
        <f t="shared" si="67"/>
        <v>0</v>
      </c>
      <c r="M82" s="171">
        <f t="shared" si="68"/>
        <v>185.75233600000001</v>
      </c>
      <c r="N82" s="171">
        <f t="shared" si="69"/>
        <v>226.40107</v>
      </c>
      <c r="O82" s="171">
        <f t="shared" si="70"/>
        <v>40.64873399999999</v>
      </c>
      <c r="P82" s="167">
        <f t="shared" si="104"/>
        <v>42370</v>
      </c>
      <c r="Q82" s="167">
        <f t="shared" si="105"/>
        <v>42399</v>
      </c>
      <c r="R82" s="168">
        <f t="shared" si="71"/>
        <v>2229.92</v>
      </c>
      <c r="S82" s="169">
        <f t="shared" si="72"/>
        <v>2717.9</v>
      </c>
      <c r="T82" s="170">
        <f t="shared" si="73"/>
        <v>30</v>
      </c>
      <c r="U82" s="170">
        <f t="shared" si="74"/>
        <v>1</v>
      </c>
      <c r="V82" s="170">
        <f t="shared" si="75"/>
        <v>0</v>
      </c>
      <c r="W82" s="171">
        <f t="shared" si="76"/>
        <v>247.74411200000003</v>
      </c>
      <c r="X82" s="171">
        <f t="shared" si="77"/>
        <v>301.95869000000005</v>
      </c>
      <c r="Y82" s="171">
        <f t="shared" si="78"/>
        <v>54.214578000000017</v>
      </c>
      <c r="Z82" s="167">
        <f t="shared" si="106"/>
        <v>42370</v>
      </c>
      <c r="AA82" s="167">
        <f t="shared" si="107"/>
        <v>42399</v>
      </c>
      <c r="AB82" s="168">
        <f t="shared" si="79"/>
        <v>2229.92</v>
      </c>
      <c r="AC82" s="169">
        <f t="shared" si="80"/>
        <v>2717.9</v>
      </c>
      <c r="AD82" s="170">
        <f t="shared" si="81"/>
        <v>30</v>
      </c>
      <c r="AE82" s="170">
        <f t="shared" si="82"/>
        <v>1</v>
      </c>
      <c r="AF82" s="170">
        <f t="shared" si="83"/>
        <v>0</v>
      </c>
      <c r="AG82" s="171">
        <f t="shared" si="84"/>
        <v>95.886559999999989</v>
      </c>
      <c r="AH82" s="171">
        <f t="shared" si="85"/>
        <v>116.86969999999999</v>
      </c>
      <c r="AI82" s="171">
        <f t="shared" si="86"/>
        <v>20.983140000000006</v>
      </c>
      <c r="AJ82" s="167">
        <f t="shared" si="108"/>
        <v>42370</v>
      </c>
      <c r="AK82" s="167">
        <f t="shared" si="109"/>
        <v>42399</v>
      </c>
      <c r="AL82" s="168">
        <f t="shared" si="87"/>
        <v>2229.92</v>
      </c>
      <c r="AM82" s="169">
        <f t="shared" si="88"/>
        <v>2717.9</v>
      </c>
      <c r="AN82" s="170">
        <f t="shared" si="89"/>
        <v>30</v>
      </c>
      <c r="AO82" s="170">
        <f t="shared" si="90"/>
        <v>1</v>
      </c>
      <c r="AP82" s="170">
        <f t="shared" si="91"/>
        <v>0</v>
      </c>
      <c r="AQ82" s="171">
        <f t="shared" si="92"/>
        <v>68.356859647999997</v>
      </c>
      <c r="AR82" s="171">
        <f t="shared" si="93"/>
        <v>83.315593759999999</v>
      </c>
      <c r="AS82" s="171">
        <f t="shared" si="94"/>
        <v>14.958734112000002</v>
      </c>
      <c r="AT82" s="167">
        <f t="shared" si="110"/>
        <v>42370</v>
      </c>
      <c r="AU82" s="167">
        <f t="shared" si="111"/>
        <v>42399</v>
      </c>
      <c r="AV82" s="168">
        <f t="shared" si="95"/>
        <v>2229.92</v>
      </c>
      <c r="AW82" s="169">
        <f t="shared" si="96"/>
        <v>2717.9</v>
      </c>
      <c r="AX82" s="170">
        <f t="shared" si="97"/>
        <v>30</v>
      </c>
      <c r="AY82" s="170">
        <f t="shared" si="98"/>
        <v>1</v>
      </c>
      <c r="AZ82" s="170">
        <f t="shared" si="99"/>
        <v>0</v>
      </c>
      <c r="BA82" s="171">
        <f t="shared" si="100"/>
        <v>91.169833216000001</v>
      </c>
      <c r="BB82" s="171">
        <f t="shared" si="101"/>
        <v>111.12079792</v>
      </c>
      <c r="BC82" s="171">
        <f t="shared" si="102"/>
        <v>19.950964704</v>
      </c>
      <c r="BD82" s="171">
        <f t="shared" si="103"/>
        <v>150.756150816</v>
      </c>
    </row>
    <row r="83" spans="1:56">
      <c r="A83" s="587" t="str">
        <f>'BANCO DADOS-CUSTO TOTAL'!C101</f>
        <v>Nova Lima</v>
      </c>
      <c r="B83" s="588" t="str">
        <f>'BANCO DADOS-CUSTO TOTAL'!H101</f>
        <v>BELTRANO 12408</v>
      </c>
      <c r="C83" s="588" t="str">
        <f>'BANCO DADOS-CUSTO TOTAL'!I101</f>
        <v>VIGILANTE ARMADO - 12X36 DIURNO</v>
      </c>
      <c r="D83" s="172"/>
      <c r="E83" s="172"/>
      <c r="F83" s="167">
        <v>42370</v>
      </c>
      <c r="G83" s="167">
        <v>42399</v>
      </c>
      <c r="H83" s="168">
        <f t="shared" si="64"/>
        <v>1869.08</v>
      </c>
      <c r="I83" s="169">
        <f>'BANCO DADOS-CUSTO TOTAL'!Y101</f>
        <v>2277.88</v>
      </c>
      <c r="J83" s="170">
        <f t="shared" si="65"/>
        <v>30</v>
      </c>
      <c r="K83" s="170">
        <f t="shared" si="66"/>
        <v>1</v>
      </c>
      <c r="L83" s="170">
        <f t="shared" si="67"/>
        <v>0</v>
      </c>
      <c r="M83" s="171">
        <f t="shared" si="68"/>
        <v>155.69436399999998</v>
      </c>
      <c r="N83" s="171">
        <f t="shared" si="69"/>
        <v>189.74740400000002</v>
      </c>
      <c r="O83" s="171">
        <f t="shared" si="70"/>
        <v>34.053040000000038</v>
      </c>
      <c r="P83" s="167">
        <f t="shared" si="104"/>
        <v>42370</v>
      </c>
      <c r="Q83" s="167">
        <f t="shared" si="105"/>
        <v>42399</v>
      </c>
      <c r="R83" s="168">
        <f t="shared" si="71"/>
        <v>1869.08</v>
      </c>
      <c r="S83" s="169">
        <f t="shared" si="72"/>
        <v>2277.88</v>
      </c>
      <c r="T83" s="170">
        <f t="shared" si="73"/>
        <v>30</v>
      </c>
      <c r="U83" s="170">
        <f t="shared" si="74"/>
        <v>1</v>
      </c>
      <c r="V83" s="170">
        <f t="shared" si="75"/>
        <v>0</v>
      </c>
      <c r="W83" s="171">
        <f t="shared" si="76"/>
        <v>207.654788</v>
      </c>
      <c r="X83" s="171">
        <f t="shared" si="77"/>
        <v>253.07246800000001</v>
      </c>
      <c r="Y83" s="171">
        <f t="shared" si="78"/>
        <v>45.417680000000018</v>
      </c>
      <c r="Z83" s="167">
        <f t="shared" si="106"/>
        <v>42370</v>
      </c>
      <c r="AA83" s="167">
        <f t="shared" si="107"/>
        <v>42399</v>
      </c>
      <c r="AB83" s="168">
        <f t="shared" si="79"/>
        <v>1869.08</v>
      </c>
      <c r="AC83" s="169">
        <f t="shared" si="80"/>
        <v>2277.88</v>
      </c>
      <c r="AD83" s="170">
        <f t="shared" si="81"/>
        <v>30</v>
      </c>
      <c r="AE83" s="170">
        <f t="shared" si="82"/>
        <v>1</v>
      </c>
      <c r="AF83" s="170">
        <f t="shared" si="83"/>
        <v>0</v>
      </c>
      <c r="AG83" s="171">
        <f t="shared" si="84"/>
        <v>80.370439999999988</v>
      </c>
      <c r="AH83" s="171">
        <f t="shared" si="85"/>
        <v>97.94883999999999</v>
      </c>
      <c r="AI83" s="171">
        <f t="shared" si="86"/>
        <v>17.578400000000002</v>
      </c>
      <c r="AJ83" s="167">
        <f t="shared" si="108"/>
        <v>42370</v>
      </c>
      <c r="AK83" s="167">
        <f t="shared" si="109"/>
        <v>42399</v>
      </c>
      <c r="AL83" s="168">
        <f t="shared" si="87"/>
        <v>1869.08</v>
      </c>
      <c r="AM83" s="169">
        <f t="shared" si="88"/>
        <v>2277.88</v>
      </c>
      <c r="AN83" s="170">
        <f t="shared" si="89"/>
        <v>30</v>
      </c>
      <c r="AO83" s="170">
        <f t="shared" si="90"/>
        <v>1</v>
      </c>
      <c r="AP83" s="170">
        <f t="shared" si="91"/>
        <v>0</v>
      </c>
      <c r="AQ83" s="171">
        <f t="shared" si="92"/>
        <v>57.295525951999991</v>
      </c>
      <c r="AR83" s="171">
        <f t="shared" si="93"/>
        <v>69.827044672</v>
      </c>
      <c r="AS83" s="171">
        <f t="shared" si="94"/>
        <v>12.531518720000008</v>
      </c>
      <c r="AT83" s="167">
        <f t="shared" si="110"/>
        <v>42370</v>
      </c>
      <c r="AU83" s="167">
        <f t="shared" si="111"/>
        <v>42399</v>
      </c>
      <c r="AV83" s="168">
        <f t="shared" si="95"/>
        <v>1869.08</v>
      </c>
      <c r="AW83" s="169">
        <f t="shared" si="96"/>
        <v>2277.88</v>
      </c>
      <c r="AX83" s="170">
        <f t="shared" si="97"/>
        <v>30</v>
      </c>
      <c r="AY83" s="170">
        <f t="shared" si="98"/>
        <v>1</v>
      </c>
      <c r="AZ83" s="170">
        <f t="shared" si="99"/>
        <v>0</v>
      </c>
      <c r="BA83" s="171">
        <f t="shared" si="100"/>
        <v>76.416961983999997</v>
      </c>
      <c r="BB83" s="171">
        <f t="shared" si="101"/>
        <v>93.130668224000004</v>
      </c>
      <c r="BC83" s="171">
        <f t="shared" si="102"/>
        <v>16.713706240000008</v>
      </c>
      <c r="BD83" s="171">
        <f t="shared" si="103"/>
        <v>126.29434496000007</v>
      </c>
    </row>
    <row r="84" spans="1:56">
      <c r="A84" s="587" t="str">
        <f>'BANCO DADOS-CUSTO TOTAL'!C102</f>
        <v>Nova Lima</v>
      </c>
      <c r="B84" s="588" t="str">
        <f>'BANCO DADOS-CUSTO TOTAL'!H102</f>
        <v>BELTRANO 12409</v>
      </c>
      <c r="C84" s="588" t="str">
        <f>'BANCO DADOS-CUSTO TOTAL'!I102</f>
        <v>VIGILANTE ARMADO - 12X36 DIURNO</v>
      </c>
      <c r="D84" s="172"/>
      <c r="E84" s="172"/>
      <c r="F84" s="167">
        <v>42370</v>
      </c>
      <c r="G84" s="167">
        <v>42399</v>
      </c>
      <c r="H84" s="168">
        <f t="shared" si="64"/>
        <v>1869.08</v>
      </c>
      <c r="I84" s="169">
        <f>'BANCO DADOS-CUSTO TOTAL'!Y102</f>
        <v>2277.88</v>
      </c>
      <c r="J84" s="170">
        <f t="shared" si="65"/>
        <v>30</v>
      </c>
      <c r="K84" s="170">
        <f t="shared" si="66"/>
        <v>1</v>
      </c>
      <c r="L84" s="170">
        <f t="shared" si="67"/>
        <v>0</v>
      </c>
      <c r="M84" s="171">
        <f t="shared" si="68"/>
        <v>155.69436399999998</v>
      </c>
      <c r="N84" s="171">
        <f t="shared" si="69"/>
        <v>189.74740400000002</v>
      </c>
      <c r="O84" s="171">
        <f t="shared" si="70"/>
        <v>34.053040000000038</v>
      </c>
      <c r="P84" s="167">
        <f t="shared" si="104"/>
        <v>42370</v>
      </c>
      <c r="Q84" s="167">
        <f t="shared" si="105"/>
        <v>42399</v>
      </c>
      <c r="R84" s="168">
        <f t="shared" si="71"/>
        <v>1869.08</v>
      </c>
      <c r="S84" s="169">
        <f t="shared" si="72"/>
        <v>2277.88</v>
      </c>
      <c r="T84" s="170">
        <f t="shared" si="73"/>
        <v>30</v>
      </c>
      <c r="U84" s="170">
        <f t="shared" si="74"/>
        <v>1</v>
      </c>
      <c r="V84" s="170">
        <f t="shared" si="75"/>
        <v>0</v>
      </c>
      <c r="W84" s="171">
        <f t="shared" si="76"/>
        <v>207.654788</v>
      </c>
      <c r="X84" s="171">
        <f t="shared" si="77"/>
        <v>253.07246800000001</v>
      </c>
      <c r="Y84" s="171">
        <f t="shared" si="78"/>
        <v>45.417680000000018</v>
      </c>
      <c r="Z84" s="167">
        <f t="shared" si="106"/>
        <v>42370</v>
      </c>
      <c r="AA84" s="167">
        <f t="shared" si="107"/>
        <v>42399</v>
      </c>
      <c r="AB84" s="168">
        <f t="shared" si="79"/>
        <v>1869.08</v>
      </c>
      <c r="AC84" s="169">
        <f t="shared" si="80"/>
        <v>2277.88</v>
      </c>
      <c r="AD84" s="170">
        <f t="shared" si="81"/>
        <v>30</v>
      </c>
      <c r="AE84" s="170">
        <f t="shared" si="82"/>
        <v>1</v>
      </c>
      <c r="AF84" s="170">
        <f t="shared" si="83"/>
        <v>0</v>
      </c>
      <c r="AG84" s="171">
        <f t="shared" si="84"/>
        <v>80.370439999999988</v>
      </c>
      <c r="AH84" s="171">
        <f t="shared" si="85"/>
        <v>97.94883999999999</v>
      </c>
      <c r="AI84" s="171">
        <f t="shared" si="86"/>
        <v>17.578400000000002</v>
      </c>
      <c r="AJ84" s="167">
        <f t="shared" si="108"/>
        <v>42370</v>
      </c>
      <c r="AK84" s="167">
        <f t="shared" si="109"/>
        <v>42399</v>
      </c>
      <c r="AL84" s="168">
        <f t="shared" si="87"/>
        <v>1869.08</v>
      </c>
      <c r="AM84" s="169">
        <f t="shared" si="88"/>
        <v>2277.88</v>
      </c>
      <c r="AN84" s="170">
        <f t="shared" si="89"/>
        <v>30</v>
      </c>
      <c r="AO84" s="170">
        <f t="shared" si="90"/>
        <v>1</v>
      </c>
      <c r="AP84" s="170">
        <f t="shared" si="91"/>
        <v>0</v>
      </c>
      <c r="AQ84" s="171">
        <f t="shared" si="92"/>
        <v>57.295525951999991</v>
      </c>
      <c r="AR84" s="171">
        <f t="shared" si="93"/>
        <v>69.827044672</v>
      </c>
      <c r="AS84" s="171">
        <f t="shared" si="94"/>
        <v>12.531518720000008</v>
      </c>
      <c r="AT84" s="167">
        <f t="shared" si="110"/>
        <v>42370</v>
      </c>
      <c r="AU84" s="167">
        <f t="shared" si="111"/>
        <v>42399</v>
      </c>
      <c r="AV84" s="168">
        <f t="shared" si="95"/>
        <v>1869.08</v>
      </c>
      <c r="AW84" s="169">
        <f t="shared" si="96"/>
        <v>2277.88</v>
      </c>
      <c r="AX84" s="170">
        <f t="shared" si="97"/>
        <v>30</v>
      </c>
      <c r="AY84" s="170">
        <f t="shared" si="98"/>
        <v>1</v>
      </c>
      <c r="AZ84" s="170">
        <f t="shared" si="99"/>
        <v>0</v>
      </c>
      <c r="BA84" s="171">
        <f t="shared" si="100"/>
        <v>76.416961983999997</v>
      </c>
      <c r="BB84" s="171">
        <f t="shared" si="101"/>
        <v>93.130668224000004</v>
      </c>
      <c r="BC84" s="171">
        <f t="shared" si="102"/>
        <v>16.713706240000008</v>
      </c>
      <c r="BD84" s="171">
        <f t="shared" si="103"/>
        <v>126.29434496000007</v>
      </c>
    </row>
    <row r="85" spans="1:56">
      <c r="A85" s="587" t="str">
        <f>'BANCO DADOS-CUSTO TOTAL'!C104</f>
        <v>Porteirinha</v>
      </c>
      <c r="B85" s="588" t="str">
        <f>'BANCO DADOS-CUSTO TOTAL'!H104</f>
        <v>BELTRANO 12410</v>
      </c>
      <c r="C85" s="588" t="str">
        <f>'BANCO DADOS-CUSTO TOTAL'!I104</f>
        <v>VIGILANTE ARMADO - 220 H</v>
      </c>
      <c r="D85" s="172"/>
      <c r="E85" s="172"/>
      <c r="F85" s="167">
        <v>42370</v>
      </c>
      <c r="G85" s="167">
        <v>42399</v>
      </c>
      <c r="H85" s="168">
        <f t="shared" si="64"/>
        <v>2035.8</v>
      </c>
      <c r="I85" s="169">
        <f>'BANCO DADOS-CUSTO TOTAL'!Y104</f>
        <v>2287.0300000000002</v>
      </c>
      <c r="J85" s="170">
        <f t="shared" si="65"/>
        <v>30</v>
      </c>
      <c r="K85" s="170">
        <f t="shared" si="66"/>
        <v>1</v>
      </c>
      <c r="L85" s="170">
        <f t="shared" si="67"/>
        <v>0</v>
      </c>
      <c r="M85" s="171">
        <f t="shared" si="68"/>
        <v>169.58213999999998</v>
      </c>
      <c r="N85" s="171">
        <f t="shared" si="69"/>
        <v>190.50959900000001</v>
      </c>
      <c r="O85" s="171">
        <f t="shared" si="70"/>
        <v>20.927459000000027</v>
      </c>
      <c r="P85" s="167">
        <f t="shared" si="104"/>
        <v>42370</v>
      </c>
      <c r="Q85" s="167">
        <f t="shared" si="105"/>
        <v>42399</v>
      </c>
      <c r="R85" s="168">
        <f t="shared" si="71"/>
        <v>2035.8</v>
      </c>
      <c r="S85" s="169">
        <f t="shared" si="72"/>
        <v>2287.0300000000002</v>
      </c>
      <c r="T85" s="170">
        <f t="shared" si="73"/>
        <v>30</v>
      </c>
      <c r="U85" s="170">
        <f t="shared" si="74"/>
        <v>1</v>
      </c>
      <c r="V85" s="170">
        <f t="shared" si="75"/>
        <v>0</v>
      </c>
      <c r="W85" s="171">
        <f t="shared" si="76"/>
        <v>226.17738</v>
      </c>
      <c r="X85" s="171">
        <f t="shared" si="77"/>
        <v>254.08903300000003</v>
      </c>
      <c r="Y85" s="171">
        <f t="shared" si="78"/>
        <v>27.91165300000003</v>
      </c>
      <c r="Z85" s="167">
        <f t="shared" si="106"/>
        <v>42370</v>
      </c>
      <c r="AA85" s="167">
        <f t="shared" si="107"/>
        <v>42399</v>
      </c>
      <c r="AB85" s="168">
        <f t="shared" si="79"/>
        <v>2035.8</v>
      </c>
      <c r="AC85" s="169">
        <f t="shared" si="80"/>
        <v>2287.0300000000002</v>
      </c>
      <c r="AD85" s="170">
        <f t="shared" si="81"/>
        <v>30</v>
      </c>
      <c r="AE85" s="170">
        <f t="shared" si="82"/>
        <v>1</v>
      </c>
      <c r="AF85" s="170">
        <f t="shared" si="83"/>
        <v>0</v>
      </c>
      <c r="AG85" s="171">
        <f t="shared" si="84"/>
        <v>87.539399999999986</v>
      </c>
      <c r="AH85" s="171">
        <f t="shared" si="85"/>
        <v>98.342290000000006</v>
      </c>
      <c r="AI85" s="171">
        <f t="shared" si="86"/>
        <v>10.802890000000019</v>
      </c>
      <c r="AJ85" s="167">
        <f t="shared" si="108"/>
        <v>42370</v>
      </c>
      <c r="AK85" s="167">
        <f t="shared" si="109"/>
        <v>42399</v>
      </c>
      <c r="AL85" s="168">
        <f t="shared" si="87"/>
        <v>2035.8</v>
      </c>
      <c r="AM85" s="169">
        <f t="shared" si="88"/>
        <v>2287.0300000000002</v>
      </c>
      <c r="AN85" s="170">
        <f t="shared" si="89"/>
        <v>30</v>
      </c>
      <c r="AO85" s="170">
        <f t="shared" si="90"/>
        <v>1</v>
      </c>
      <c r="AP85" s="170">
        <f t="shared" si="91"/>
        <v>0</v>
      </c>
      <c r="AQ85" s="171">
        <f t="shared" si="92"/>
        <v>62.406227519999995</v>
      </c>
      <c r="AR85" s="171">
        <f t="shared" si="93"/>
        <v>70.107532431999999</v>
      </c>
      <c r="AS85" s="171">
        <f t="shared" si="94"/>
        <v>7.7013049120000048</v>
      </c>
      <c r="AT85" s="167">
        <f t="shared" si="110"/>
        <v>42370</v>
      </c>
      <c r="AU85" s="167">
        <f t="shared" si="111"/>
        <v>42399</v>
      </c>
      <c r="AV85" s="168">
        <f t="shared" si="95"/>
        <v>2035.8</v>
      </c>
      <c r="AW85" s="169">
        <f t="shared" si="96"/>
        <v>2287.0300000000002</v>
      </c>
      <c r="AX85" s="170">
        <f t="shared" si="97"/>
        <v>30</v>
      </c>
      <c r="AY85" s="170">
        <f t="shared" si="98"/>
        <v>1</v>
      </c>
      <c r="AZ85" s="170">
        <f t="shared" si="99"/>
        <v>0</v>
      </c>
      <c r="BA85" s="171">
        <f t="shared" si="100"/>
        <v>83.23327583999999</v>
      </c>
      <c r="BB85" s="171">
        <f t="shared" si="101"/>
        <v>93.504764144000006</v>
      </c>
      <c r="BC85" s="171">
        <f t="shared" si="102"/>
        <v>10.271488304000016</v>
      </c>
      <c r="BD85" s="171">
        <f t="shared" si="103"/>
        <v>77.61479521600009</v>
      </c>
    </row>
    <row r="86" spans="1:56">
      <c r="A86" s="587" t="str">
        <f>'BANCO DADOS-CUSTO TOTAL'!C106</f>
        <v>Pouso Alegre</v>
      </c>
      <c r="B86" s="588" t="str">
        <f>'BANCO DADOS-CUSTO TOTAL'!H106</f>
        <v>BELTRANO 12411</v>
      </c>
      <c r="C86" s="588" t="str">
        <f>'BANCO DADOS-CUSTO TOTAL'!I106</f>
        <v>VIGILANTE ARMADO - 12X36 DIURNO</v>
      </c>
      <c r="D86" s="172"/>
      <c r="E86" s="172"/>
      <c r="F86" s="167">
        <v>42370</v>
      </c>
      <c r="G86" s="167">
        <v>42399</v>
      </c>
      <c r="H86" s="168">
        <f t="shared" si="64"/>
        <v>1869.08</v>
      </c>
      <c r="I86" s="169">
        <f>'BANCO DADOS-CUSTO TOTAL'!Y106</f>
        <v>2277.88</v>
      </c>
      <c r="J86" s="170">
        <f t="shared" si="65"/>
        <v>30</v>
      </c>
      <c r="K86" s="170">
        <f t="shared" si="66"/>
        <v>1</v>
      </c>
      <c r="L86" s="170">
        <f t="shared" si="67"/>
        <v>0</v>
      </c>
      <c r="M86" s="171">
        <f t="shared" si="68"/>
        <v>155.69436399999998</v>
      </c>
      <c r="N86" s="171">
        <f t="shared" si="69"/>
        <v>189.74740400000002</v>
      </c>
      <c r="O86" s="171">
        <f t="shared" si="70"/>
        <v>34.053040000000038</v>
      </c>
      <c r="P86" s="167">
        <f t="shared" si="104"/>
        <v>42370</v>
      </c>
      <c r="Q86" s="167">
        <f t="shared" si="105"/>
        <v>42399</v>
      </c>
      <c r="R86" s="168">
        <f t="shared" si="71"/>
        <v>1869.08</v>
      </c>
      <c r="S86" s="169">
        <f t="shared" si="72"/>
        <v>2277.88</v>
      </c>
      <c r="T86" s="170">
        <f t="shared" si="73"/>
        <v>30</v>
      </c>
      <c r="U86" s="170">
        <f t="shared" si="74"/>
        <v>1</v>
      </c>
      <c r="V86" s="170">
        <f t="shared" si="75"/>
        <v>0</v>
      </c>
      <c r="W86" s="171">
        <f t="shared" si="76"/>
        <v>207.654788</v>
      </c>
      <c r="X86" s="171">
        <f t="shared" si="77"/>
        <v>253.07246800000001</v>
      </c>
      <c r="Y86" s="171">
        <f t="shared" si="78"/>
        <v>45.417680000000018</v>
      </c>
      <c r="Z86" s="167">
        <f t="shared" si="106"/>
        <v>42370</v>
      </c>
      <c r="AA86" s="167">
        <f t="shared" si="107"/>
        <v>42399</v>
      </c>
      <c r="AB86" s="168">
        <f t="shared" si="79"/>
        <v>1869.08</v>
      </c>
      <c r="AC86" s="169">
        <f t="shared" si="80"/>
        <v>2277.88</v>
      </c>
      <c r="AD86" s="170">
        <f t="shared" si="81"/>
        <v>30</v>
      </c>
      <c r="AE86" s="170">
        <f t="shared" si="82"/>
        <v>1</v>
      </c>
      <c r="AF86" s="170">
        <f t="shared" si="83"/>
        <v>0</v>
      </c>
      <c r="AG86" s="171">
        <f t="shared" si="84"/>
        <v>80.370439999999988</v>
      </c>
      <c r="AH86" s="171">
        <f t="shared" si="85"/>
        <v>97.94883999999999</v>
      </c>
      <c r="AI86" s="171">
        <f t="shared" si="86"/>
        <v>17.578400000000002</v>
      </c>
      <c r="AJ86" s="167">
        <f t="shared" si="108"/>
        <v>42370</v>
      </c>
      <c r="AK86" s="167">
        <f t="shared" si="109"/>
        <v>42399</v>
      </c>
      <c r="AL86" s="168">
        <f t="shared" si="87"/>
        <v>1869.08</v>
      </c>
      <c r="AM86" s="169">
        <f t="shared" si="88"/>
        <v>2277.88</v>
      </c>
      <c r="AN86" s="170">
        <f t="shared" si="89"/>
        <v>30</v>
      </c>
      <c r="AO86" s="170">
        <f t="shared" si="90"/>
        <v>1</v>
      </c>
      <c r="AP86" s="170">
        <f t="shared" si="91"/>
        <v>0</v>
      </c>
      <c r="AQ86" s="171">
        <f t="shared" si="92"/>
        <v>57.295525951999991</v>
      </c>
      <c r="AR86" s="171">
        <f t="shared" si="93"/>
        <v>69.827044672</v>
      </c>
      <c r="AS86" s="171">
        <f t="shared" si="94"/>
        <v>12.531518720000008</v>
      </c>
      <c r="AT86" s="167">
        <f t="shared" si="110"/>
        <v>42370</v>
      </c>
      <c r="AU86" s="167">
        <f t="shared" si="111"/>
        <v>42399</v>
      </c>
      <c r="AV86" s="168">
        <f t="shared" si="95"/>
        <v>1869.08</v>
      </c>
      <c r="AW86" s="169">
        <f t="shared" si="96"/>
        <v>2277.88</v>
      </c>
      <c r="AX86" s="170">
        <f t="shared" si="97"/>
        <v>30</v>
      </c>
      <c r="AY86" s="170">
        <f t="shared" si="98"/>
        <v>1</v>
      </c>
      <c r="AZ86" s="170">
        <f t="shared" si="99"/>
        <v>0</v>
      </c>
      <c r="BA86" s="171">
        <f t="shared" si="100"/>
        <v>76.416961983999997</v>
      </c>
      <c r="BB86" s="171">
        <f t="shared" si="101"/>
        <v>93.130668224000004</v>
      </c>
      <c r="BC86" s="171">
        <f t="shared" si="102"/>
        <v>16.713706240000008</v>
      </c>
      <c r="BD86" s="171">
        <f t="shared" si="103"/>
        <v>126.29434496000007</v>
      </c>
    </row>
    <row r="87" spans="1:56">
      <c r="A87" s="587" t="str">
        <f>'BANCO DADOS-CUSTO TOTAL'!C107</f>
        <v>Pouso Alegre</v>
      </c>
      <c r="B87" s="588" t="str">
        <f>'BANCO DADOS-CUSTO TOTAL'!H107</f>
        <v>BELTRANO 12412</v>
      </c>
      <c r="C87" s="588" t="str">
        <f>'BANCO DADOS-CUSTO TOTAL'!I107</f>
        <v>VIGILANTE ARMADO - 12X36 DIURNO</v>
      </c>
      <c r="D87" s="172"/>
      <c r="E87" s="172"/>
      <c r="F87" s="167">
        <v>42370</v>
      </c>
      <c r="G87" s="167">
        <v>42399</v>
      </c>
      <c r="H87" s="168">
        <f t="shared" si="64"/>
        <v>1869.08</v>
      </c>
      <c r="I87" s="169">
        <f>'BANCO DADOS-CUSTO TOTAL'!Y107</f>
        <v>2277.88</v>
      </c>
      <c r="J87" s="170">
        <f t="shared" si="65"/>
        <v>30</v>
      </c>
      <c r="K87" s="170">
        <f t="shared" si="66"/>
        <v>1</v>
      </c>
      <c r="L87" s="170">
        <f t="shared" si="67"/>
        <v>0</v>
      </c>
      <c r="M87" s="171">
        <f t="shared" si="68"/>
        <v>155.69436399999998</v>
      </c>
      <c r="N87" s="171">
        <f t="shared" si="69"/>
        <v>189.74740400000002</v>
      </c>
      <c r="O87" s="171">
        <f t="shared" si="70"/>
        <v>34.053040000000038</v>
      </c>
      <c r="P87" s="167">
        <f t="shared" si="104"/>
        <v>42370</v>
      </c>
      <c r="Q87" s="167">
        <f t="shared" si="105"/>
        <v>42399</v>
      </c>
      <c r="R87" s="168">
        <f t="shared" si="71"/>
        <v>1869.08</v>
      </c>
      <c r="S87" s="169">
        <f t="shared" si="72"/>
        <v>2277.88</v>
      </c>
      <c r="T87" s="170">
        <f t="shared" si="73"/>
        <v>30</v>
      </c>
      <c r="U87" s="170">
        <f t="shared" si="74"/>
        <v>1</v>
      </c>
      <c r="V87" s="170">
        <f t="shared" si="75"/>
        <v>0</v>
      </c>
      <c r="W87" s="171">
        <f t="shared" si="76"/>
        <v>207.654788</v>
      </c>
      <c r="X87" s="171">
        <f t="shared" si="77"/>
        <v>253.07246800000001</v>
      </c>
      <c r="Y87" s="171">
        <f t="shared" si="78"/>
        <v>45.417680000000018</v>
      </c>
      <c r="Z87" s="167">
        <f t="shared" si="106"/>
        <v>42370</v>
      </c>
      <c r="AA87" s="167">
        <f t="shared" si="107"/>
        <v>42399</v>
      </c>
      <c r="AB87" s="168">
        <f t="shared" si="79"/>
        <v>1869.08</v>
      </c>
      <c r="AC87" s="169">
        <f t="shared" si="80"/>
        <v>2277.88</v>
      </c>
      <c r="AD87" s="170">
        <f t="shared" si="81"/>
        <v>30</v>
      </c>
      <c r="AE87" s="170">
        <f t="shared" si="82"/>
        <v>1</v>
      </c>
      <c r="AF87" s="170">
        <f t="shared" si="83"/>
        <v>0</v>
      </c>
      <c r="AG87" s="171">
        <f t="shared" si="84"/>
        <v>80.370439999999988</v>
      </c>
      <c r="AH87" s="171">
        <f t="shared" si="85"/>
        <v>97.94883999999999</v>
      </c>
      <c r="AI87" s="171">
        <f t="shared" si="86"/>
        <v>17.578400000000002</v>
      </c>
      <c r="AJ87" s="167">
        <f t="shared" si="108"/>
        <v>42370</v>
      </c>
      <c r="AK87" s="167">
        <f t="shared" si="109"/>
        <v>42399</v>
      </c>
      <c r="AL87" s="168">
        <f t="shared" si="87"/>
        <v>1869.08</v>
      </c>
      <c r="AM87" s="169">
        <f t="shared" si="88"/>
        <v>2277.88</v>
      </c>
      <c r="AN87" s="170">
        <f t="shared" si="89"/>
        <v>30</v>
      </c>
      <c r="AO87" s="170">
        <f t="shared" si="90"/>
        <v>1</v>
      </c>
      <c r="AP87" s="170">
        <f t="shared" si="91"/>
        <v>0</v>
      </c>
      <c r="AQ87" s="171">
        <f t="shared" si="92"/>
        <v>57.295525951999991</v>
      </c>
      <c r="AR87" s="171">
        <f t="shared" si="93"/>
        <v>69.827044672</v>
      </c>
      <c r="AS87" s="171">
        <f t="shared" si="94"/>
        <v>12.531518720000008</v>
      </c>
      <c r="AT87" s="167">
        <f t="shared" si="110"/>
        <v>42370</v>
      </c>
      <c r="AU87" s="167">
        <f t="shared" si="111"/>
        <v>42399</v>
      </c>
      <c r="AV87" s="168">
        <f t="shared" si="95"/>
        <v>1869.08</v>
      </c>
      <c r="AW87" s="169">
        <f t="shared" si="96"/>
        <v>2277.88</v>
      </c>
      <c r="AX87" s="170">
        <f t="shared" si="97"/>
        <v>30</v>
      </c>
      <c r="AY87" s="170">
        <f t="shared" si="98"/>
        <v>1</v>
      </c>
      <c r="AZ87" s="170">
        <f t="shared" si="99"/>
        <v>0</v>
      </c>
      <c r="BA87" s="171">
        <f t="shared" si="100"/>
        <v>76.416961983999997</v>
      </c>
      <c r="BB87" s="171">
        <f t="shared" si="101"/>
        <v>93.130668224000004</v>
      </c>
      <c r="BC87" s="171">
        <f t="shared" si="102"/>
        <v>16.713706240000008</v>
      </c>
      <c r="BD87" s="171">
        <f t="shared" si="103"/>
        <v>126.29434496000007</v>
      </c>
    </row>
    <row r="88" spans="1:56">
      <c r="A88" s="587" t="str">
        <f>'BANCO DADOS-CUSTO TOTAL'!C108</f>
        <v>Pouso Alegre</v>
      </c>
      <c r="B88" s="588" t="str">
        <f>'BANCO DADOS-CUSTO TOTAL'!H108</f>
        <v>BELTRANO 12413</v>
      </c>
      <c r="C88" s="588" t="str">
        <f>'BANCO DADOS-CUSTO TOTAL'!I108</f>
        <v>VIGILANTE ARMADO - 12X36 NOTURNO</v>
      </c>
      <c r="D88" s="172"/>
      <c r="E88" s="172"/>
      <c r="F88" s="167">
        <v>42370</v>
      </c>
      <c r="G88" s="167">
        <v>42399</v>
      </c>
      <c r="H88" s="168">
        <f t="shared" si="64"/>
        <v>2229.92</v>
      </c>
      <c r="I88" s="169">
        <f>'BANCO DADOS-CUSTO TOTAL'!Y108</f>
        <v>2717.9</v>
      </c>
      <c r="J88" s="170">
        <f t="shared" si="65"/>
        <v>30</v>
      </c>
      <c r="K88" s="170">
        <f t="shared" si="66"/>
        <v>1</v>
      </c>
      <c r="L88" s="170">
        <f t="shared" si="67"/>
        <v>0</v>
      </c>
      <c r="M88" s="171">
        <f t="shared" si="68"/>
        <v>185.75233600000001</v>
      </c>
      <c r="N88" s="171">
        <f t="shared" si="69"/>
        <v>226.40107</v>
      </c>
      <c r="O88" s="171">
        <f t="shared" si="70"/>
        <v>40.64873399999999</v>
      </c>
      <c r="P88" s="167">
        <f t="shared" si="104"/>
        <v>42370</v>
      </c>
      <c r="Q88" s="167">
        <f t="shared" si="105"/>
        <v>42399</v>
      </c>
      <c r="R88" s="168">
        <f t="shared" si="71"/>
        <v>2229.92</v>
      </c>
      <c r="S88" s="169">
        <f t="shared" si="72"/>
        <v>2717.9</v>
      </c>
      <c r="T88" s="170">
        <f t="shared" si="73"/>
        <v>30</v>
      </c>
      <c r="U88" s="170">
        <f t="shared" si="74"/>
        <v>1</v>
      </c>
      <c r="V88" s="170">
        <f t="shared" si="75"/>
        <v>0</v>
      </c>
      <c r="W88" s="171">
        <f t="shared" si="76"/>
        <v>247.74411200000003</v>
      </c>
      <c r="X88" s="171">
        <f t="shared" si="77"/>
        <v>301.95869000000005</v>
      </c>
      <c r="Y88" s="171">
        <f t="shared" si="78"/>
        <v>54.214578000000017</v>
      </c>
      <c r="Z88" s="167">
        <f t="shared" si="106"/>
        <v>42370</v>
      </c>
      <c r="AA88" s="167">
        <f t="shared" si="107"/>
        <v>42399</v>
      </c>
      <c r="AB88" s="168">
        <f t="shared" si="79"/>
        <v>2229.92</v>
      </c>
      <c r="AC88" s="169">
        <f t="shared" si="80"/>
        <v>2717.9</v>
      </c>
      <c r="AD88" s="170">
        <f t="shared" si="81"/>
        <v>30</v>
      </c>
      <c r="AE88" s="170">
        <f t="shared" si="82"/>
        <v>1</v>
      </c>
      <c r="AF88" s="170">
        <f t="shared" si="83"/>
        <v>0</v>
      </c>
      <c r="AG88" s="171">
        <f t="shared" si="84"/>
        <v>95.886559999999989</v>
      </c>
      <c r="AH88" s="171">
        <f t="shared" si="85"/>
        <v>116.86969999999999</v>
      </c>
      <c r="AI88" s="171">
        <f t="shared" si="86"/>
        <v>20.983140000000006</v>
      </c>
      <c r="AJ88" s="167">
        <f t="shared" si="108"/>
        <v>42370</v>
      </c>
      <c r="AK88" s="167">
        <f t="shared" si="109"/>
        <v>42399</v>
      </c>
      <c r="AL88" s="168">
        <f t="shared" si="87"/>
        <v>2229.92</v>
      </c>
      <c r="AM88" s="169">
        <f t="shared" si="88"/>
        <v>2717.9</v>
      </c>
      <c r="AN88" s="170">
        <f t="shared" si="89"/>
        <v>30</v>
      </c>
      <c r="AO88" s="170">
        <f t="shared" si="90"/>
        <v>1</v>
      </c>
      <c r="AP88" s="170">
        <f t="shared" si="91"/>
        <v>0</v>
      </c>
      <c r="AQ88" s="171">
        <f t="shared" si="92"/>
        <v>68.356859647999997</v>
      </c>
      <c r="AR88" s="171">
        <f t="shared" si="93"/>
        <v>83.315593759999999</v>
      </c>
      <c r="AS88" s="171">
        <f t="shared" si="94"/>
        <v>14.958734112000002</v>
      </c>
      <c r="AT88" s="167">
        <f t="shared" si="110"/>
        <v>42370</v>
      </c>
      <c r="AU88" s="167">
        <f t="shared" si="111"/>
        <v>42399</v>
      </c>
      <c r="AV88" s="168">
        <f t="shared" si="95"/>
        <v>2229.92</v>
      </c>
      <c r="AW88" s="169">
        <f t="shared" si="96"/>
        <v>2717.9</v>
      </c>
      <c r="AX88" s="170">
        <f t="shared" si="97"/>
        <v>30</v>
      </c>
      <c r="AY88" s="170">
        <f t="shared" si="98"/>
        <v>1</v>
      </c>
      <c r="AZ88" s="170">
        <f t="shared" si="99"/>
        <v>0</v>
      </c>
      <c r="BA88" s="171">
        <f t="shared" si="100"/>
        <v>91.169833216000001</v>
      </c>
      <c r="BB88" s="171">
        <f t="shared" si="101"/>
        <v>111.12079792</v>
      </c>
      <c r="BC88" s="171">
        <f t="shared" si="102"/>
        <v>19.950964704</v>
      </c>
      <c r="BD88" s="171">
        <f t="shared" si="103"/>
        <v>150.756150816</v>
      </c>
    </row>
    <row r="89" spans="1:56">
      <c r="A89" s="587" t="str">
        <f>'BANCO DADOS-CUSTO TOTAL'!C109</f>
        <v>Pouso Alegre</v>
      </c>
      <c r="B89" s="588" t="str">
        <f>'BANCO DADOS-CUSTO TOTAL'!H109</f>
        <v>BELTRANO 12414</v>
      </c>
      <c r="C89" s="588" t="str">
        <f>'BANCO DADOS-CUSTO TOTAL'!I109</f>
        <v>VIGILANTE ARMADO - 12X36 NOTURNO</v>
      </c>
      <c r="D89" s="172"/>
      <c r="E89" s="172"/>
      <c r="F89" s="167">
        <v>42370</v>
      </c>
      <c r="G89" s="167">
        <v>42399</v>
      </c>
      <c r="H89" s="168">
        <f t="shared" si="64"/>
        <v>2229.92</v>
      </c>
      <c r="I89" s="169">
        <f>'BANCO DADOS-CUSTO TOTAL'!Y109</f>
        <v>2717.9</v>
      </c>
      <c r="J89" s="170">
        <f t="shared" si="65"/>
        <v>30</v>
      </c>
      <c r="K89" s="170">
        <f t="shared" si="66"/>
        <v>1</v>
      </c>
      <c r="L89" s="170">
        <f t="shared" si="67"/>
        <v>0</v>
      </c>
      <c r="M89" s="171">
        <f t="shared" si="68"/>
        <v>185.75233600000001</v>
      </c>
      <c r="N89" s="171">
        <f t="shared" si="69"/>
        <v>226.40107</v>
      </c>
      <c r="O89" s="171">
        <f t="shared" si="70"/>
        <v>40.64873399999999</v>
      </c>
      <c r="P89" s="167">
        <f t="shared" si="104"/>
        <v>42370</v>
      </c>
      <c r="Q89" s="167">
        <f t="shared" si="105"/>
        <v>42399</v>
      </c>
      <c r="R89" s="168">
        <f t="shared" si="71"/>
        <v>2229.92</v>
      </c>
      <c r="S89" s="169">
        <f t="shared" si="72"/>
        <v>2717.9</v>
      </c>
      <c r="T89" s="170">
        <f t="shared" si="73"/>
        <v>30</v>
      </c>
      <c r="U89" s="170">
        <f t="shared" si="74"/>
        <v>1</v>
      </c>
      <c r="V89" s="170">
        <f t="shared" si="75"/>
        <v>0</v>
      </c>
      <c r="W89" s="171">
        <f t="shared" si="76"/>
        <v>247.74411200000003</v>
      </c>
      <c r="X89" s="171">
        <f t="shared" si="77"/>
        <v>301.95869000000005</v>
      </c>
      <c r="Y89" s="171">
        <f t="shared" si="78"/>
        <v>54.214578000000017</v>
      </c>
      <c r="Z89" s="167">
        <f t="shared" si="106"/>
        <v>42370</v>
      </c>
      <c r="AA89" s="167">
        <f t="shared" si="107"/>
        <v>42399</v>
      </c>
      <c r="AB89" s="168">
        <f t="shared" si="79"/>
        <v>2229.92</v>
      </c>
      <c r="AC89" s="169">
        <f t="shared" si="80"/>
        <v>2717.9</v>
      </c>
      <c r="AD89" s="170">
        <f t="shared" si="81"/>
        <v>30</v>
      </c>
      <c r="AE89" s="170">
        <f t="shared" si="82"/>
        <v>1</v>
      </c>
      <c r="AF89" s="170">
        <f t="shared" si="83"/>
        <v>0</v>
      </c>
      <c r="AG89" s="171">
        <f t="shared" si="84"/>
        <v>95.886559999999989</v>
      </c>
      <c r="AH89" s="171">
        <f t="shared" si="85"/>
        <v>116.86969999999999</v>
      </c>
      <c r="AI89" s="171">
        <f t="shared" si="86"/>
        <v>20.983140000000006</v>
      </c>
      <c r="AJ89" s="167">
        <f t="shared" si="108"/>
        <v>42370</v>
      </c>
      <c r="AK89" s="167">
        <f t="shared" si="109"/>
        <v>42399</v>
      </c>
      <c r="AL89" s="168">
        <f t="shared" si="87"/>
        <v>2229.92</v>
      </c>
      <c r="AM89" s="169">
        <f t="shared" si="88"/>
        <v>2717.9</v>
      </c>
      <c r="AN89" s="170">
        <f t="shared" si="89"/>
        <v>30</v>
      </c>
      <c r="AO89" s="170">
        <f t="shared" si="90"/>
        <v>1</v>
      </c>
      <c r="AP89" s="170">
        <f t="shared" si="91"/>
        <v>0</v>
      </c>
      <c r="AQ89" s="171">
        <f t="shared" si="92"/>
        <v>68.356859647999997</v>
      </c>
      <c r="AR89" s="171">
        <f t="shared" si="93"/>
        <v>83.315593759999999</v>
      </c>
      <c r="AS89" s="171">
        <f t="shared" si="94"/>
        <v>14.958734112000002</v>
      </c>
      <c r="AT89" s="167">
        <f t="shared" si="110"/>
        <v>42370</v>
      </c>
      <c r="AU89" s="167">
        <f t="shared" si="111"/>
        <v>42399</v>
      </c>
      <c r="AV89" s="168">
        <f t="shared" si="95"/>
        <v>2229.92</v>
      </c>
      <c r="AW89" s="169">
        <f t="shared" si="96"/>
        <v>2717.9</v>
      </c>
      <c r="AX89" s="170">
        <f t="shared" si="97"/>
        <v>30</v>
      </c>
      <c r="AY89" s="170">
        <f t="shared" si="98"/>
        <v>1</v>
      </c>
      <c r="AZ89" s="170">
        <f t="shared" si="99"/>
        <v>0</v>
      </c>
      <c r="BA89" s="171">
        <f t="shared" si="100"/>
        <v>91.169833216000001</v>
      </c>
      <c r="BB89" s="171">
        <f t="shared" si="101"/>
        <v>111.12079792</v>
      </c>
      <c r="BC89" s="171">
        <f t="shared" si="102"/>
        <v>19.950964704</v>
      </c>
      <c r="BD89" s="171">
        <f t="shared" si="103"/>
        <v>150.756150816</v>
      </c>
    </row>
    <row r="90" spans="1:56">
      <c r="A90" s="587" t="str">
        <f>'BANCO DADOS-CUSTO TOTAL'!C111</f>
        <v>Ribeirão das Neves</v>
      </c>
      <c r="B90" s="588" t="str">
        <f>'BANCO DADOS-CUSTO TOTAL'!H111</f>
        <v>BELTRANO 12415</v>
      </c>
      <c r="C90" s="588" t="str">
        <f>'BANCO DADOS-CUSTO TOTAL'!I111</f>
        <v>VIGILANTE ARMADO - 220 H</v>
      </c>
      <c r="D90" s="172"/>
      <c r="E90" s="172"/>
      <c r="F90" s="167">
        <v>42370</v>
      </c>
      <c r="G90" s="167">
        <v>42399</v>
      </c>
      <c r="H90" s="168">
        <f t="shared" si="64"/>
        <v>2035.8</v>
      </c>
      <c r="I90" s="169">
        <f>'BANCO DADOS-CUSTO TOTAL'!Y111</f>
        <v>2287.0300000000002</v>
      </c>
      <c r="J90" s="170">
        <f t="shared" si="65"/>
        <v>30</v>
      </c>
      <c r="K90" s="170">
        <f t="shared" si="66"/>
        <v>1</v>
      </c>
      <c r="L90" s="170">
        <f t="shared" si="67"/>
        <v>0</v>
      </c>
      <c r="M90" s="171">
        <f t="shared" si="68"/>
        <v>169.58213999999998</v>
      </c>
      <c r="N90" s="171">
        <f t="shared" si="69"/>
        <v>190.50959900000001</v>
      </c>
      <c r="O90" s="171">
        <f t="shared" si="70"/>
        <v>20.927459000000027</v>
      </c>
      <c r="P90" s="167">
        <f t="shared" si="104"/>
        <v>42370</v>
      </c>
      <c r="Q90" s="167">
        <f t="shared" si="105"/>
        <v>42399</v>
      </c>
      <c r="R90" s="168">
        <f t="shared" si="71"/>
        <v>2035.8</v>
      </c>
      <c r="S90" s="169">
        <f t="shared" si="72"/>
        <v>2287.0300000000002</v>
      </c>
      <c r="T90" s="170">
        <f t="shared" si="73"/>
        <v>30</v>
      </c>
      <c r="U90" s="170">
        <f t="shared" si="74"/>
        <v>1</v>
      </c>
      <c r="V90" s="170">
        <f t="shared" si="75"/>
        <v>0</v>
      </c>
      <c r="W90" s="171">
        <f t="shared" si="76"/>
        <v>226.17738</v>
      </c>
      <c r="X90" s="171">
        <f t="shared" si="77"/>
        <v>254.08903300000003</v>
      </c>
      <c r="Y90" s="171">
        <f t="shared" si="78"/>
        <v>27.91165300000003</v>
      </c>
      <c r="Z90" s="167">
        <f t="shared" si="106"/>
        <v>42370</v>
      </c>
      <c r="AA90" s="167">
        <f t="shared" si="107"/>
        <v>42399</v>
      </c>
      <c r="AB90" s="168">
        <f t="shared" si="79"/>
        <v>2035.8</v>
      </c>
      <c r="AC90" s="169">
        <f t="shared" si="80"/>
        <v>2287.0300000000002</v>
      </c>
      <c r="AD90" s="170">
        <f t="shared" si="81"/>
        <v>30</v>
      </c>
      <c r="AE90" s="170">
        <f t="shared" si="82"/>
        <v>1</v>
      </c>
      <c r="AF90" s="170">
        <f t="shared" si="83"/>
        <v>0</v>
      </c>
      <c r="AG90" s="171">
        <f t="shared" si="84"/>
        <v>87.539399999999986</v>
      </c>
      <c r="AH90" s="171">
        <f t="shared" si="85"/>
        <v>98.342290000000006</v>
      </c>
      <c r="AI90" s="171">
        <f t="shared" si="86"/>
        <v>10.802890000000019</v>
      </c>
      <c r="AJ90" s="167">
        <f t="shared" si="108"/>
        <v>42370</v>
      </c>
      <c r="AK90" s="167">
        <f t="shared" si="109"/>
        <v>42399</v>
      </c>
      <c r="AL90" s="168">
        <f t="shared" si="87"/>
        <v>2035.8</v>
      </c>
      <c r="AM90" s="169">
        <f t="shared" si="88"/>
        <v>2287.0300000000002</v>
      </c>
      <c r="AN90" s="170">
        <f t="shared" si="89"/>
        <v>30</v>
      </c>
      <c r="AO90" s="170">
        <f t="shared" si="90"/>
        <v>1</v>
      </c>
      <c r="AP90" s="170">
        <f t="shared" si="91"/>
        <v>0</v>
      </c>
      <c r="AQ90" s="171">
        <f t="shared" si="92"/>
        <v>62.406227519999995</v>
      </c>
      <c r="AR90" s="171">
        <f t="shared" si="93"/>
        <v>70.107532431999999</v>
      </c>
      <c r="AS90" s="171">
        <f t="shared" si="94"/>
        <v>7.7013049120000048</v>
      </c>
      <c r="AT90" s="167">
        <f t="shared" si="110"/>
        <v>42370</v>
      </c>
      <c r="AU90" s="167">
        <f t="shared" si="111"/>
        <v>42399</v>
      </c>
      <c r="AV90" s="168">
        <f t="shared" si="95"/>
        <v>2035.8</v>
      </c>
      <c r="AW90" s="169">
        <f t="shared" si="96"/>
        <v>2287.0300000000002</v>
      </c>
      <c r="AX90" s="170">
        <f t="shared" si="97"/>
        <v>30</v>
      </c>
      <c r="AY90" s="170">
        <f t="shared" si="98"/>
        <v>1</v>
      </c>
      <c r="AZ90" s="170">
        <f t="shared" si="99"/>
        <v>0</v>
      </c>
      <c r="BA90" s="171">
        <f t="shared" si="100"/>
        <v>83.23327583999999</v>
      </c>
      <c r="BB90" s="171">
        <f t="shared" si="101"/>
        <v>93.504764144000006</v>
      </c>
      <c r="BC90" s="171">
        <f t="shared" si="102"/>
        <v>10.271488304000016</v>
      </c>
      <c r="BD90" s="171">
        <f t="shared" si="103"/>
        <v>77.61479521600009</v>
      </c>
    </row>
    <row r="91" spans="1:56">
      <c r="A91" s="587" t="str">
        <f>'BANCO DADOS-CUSTO TOTAL'!C112</f>
        <v>Ribeirão das Neves</v>
      </c>
      <c r="B91" s="588" t="str">
        <f>'BANCO DADOS-CUSTO TOTAL'!H112</f>
        <v>BELTRANO 12416</v>
      </c>
      <c r="C91" s="588" t="str">
        <f>'BANCO DADOS-CUSTO TOTAL'!I112</f>
        <v>VIGILANTE ARMADO - 12X36 DIURNO</v>
      </c>
      <c r="D91" s="172"/>
      <c r="E91" s="172"/>
      <c r="F91" s="167">
        <v>42370</v>
      </c>
      <c r="G91" s="167">
        <v>42399</v>
      </c>
      <c r="H91" s="168">
        <f t="shared" si="64"/>
        <v>1869.08</v>
      </c>
      <c r="I91" s="169">
        <f>'BANCO DADOS-CUSTO TOTAL'!Y112</f>
        <v>2277.88</v>
      </c>
      <c r="J91" s="170">
        <f t="shared" si="65"/>
        <v>30</v>
      </c>
      <c r="K91" s="170">
        <f t="shared" si="66"/>
        <v>1</v>
      </c>
      <c r="L91" s="170">
        <f t="shared" si="67"/>
        <v>0</v>
      </c>
      <c r="M91" s="171">
        <f t="shared" si="68"/>
        <v>155.69436399999998</v>
      </c>
      <c r="N91" s="171">
        <f t="shared" si="69"/>
        <v>189.74740400000002</v>
      </c>
      <c r="O91" s="171">
        <f t="shared" si="70"/>
        <v>34.053040000000038</v>
      </c>
      <c r="P91" s="167">
        <f t="shared" si="104"/>
        <v>42370</v>
      </c>
      <c r="Q91" s="167">
        <f t="shared" si="105"/>
        <v>42399</v>
      </c>
      <c r="R91" s="168">
        <f t="shared" si="71"/>
        <v>1869.08</v>
      </c>
      <c r="S91" s="169">
        <f t="shared" si="72"/>
        <v>2277.88</v>
      </c>
      <c r="T91" s="170">
        <f t="shared" si="73"/>
        <v>30</v>
      </c>
      <c r="U91" s="170">
        <f t="shared" si="74"/>
        <v>1</v>
      </c>
      <c r="V91" s="170">
        <f t="shared" si="75"/>
        <v>0</v>
      </c>
      <c r="W91" s="171">
        <f t="shared" si="76"/>
        <v>207.654788</v>
      </c>
      <c r="X91" s="171">
        <f t="shared" si="77"/>
        <v>253.07246800000001</v>
      </c>
      <c r="Y91" s="171">
        <f t="shared" si="78"/>
        <v>45.417680000000018</v>
      </c>
      <c r="Z91" s="167">
        <f t="shared" si="106"/>
        <v>42370</v>
      </c>
      <c r="AA91" s="167">
        <f t="shared" si="107"/>
        <v>42399</v>
      </c>
      <c r="AB91" s="168">
        <f t="shared" si="79"/>
        <v>1869.08</v>
      </c>
      <c r="AC91" s="169">
        <f t="shared" si="80"/>
        <v>2277.88</v>
      </c>
      <c r="AD91" s="170">
        <f t="shared" si="81"/>
        <v>30</v>
      </c>
      <c r="AE91" s="170">
        <f t="shared" si="82"/>
        <v>1</v>
      </c>
      <c r="AF91" s="170">
        <f t="shared" si="83"/>
        <v>0</v>
      </c>
      <c r="AG91" s="171">
        <f t="shared" si="84"/>
        <v>80.370439999999988</v>
      </c>
      <c r="AH91" s="171">
        <f t="shared" si="85"/>
        <v>97.94883999999999</v>
      </c>
      <c r="AI91" s="171">
        <f t="shared" si="86"/>
        <v>17.578400000000002</v>
      </c>
      <c r="AJ91" s="167">
        <f t="shared" si="108"/>
        <v>42370</v>
      </c>
      <c r="AK91" s="167">
        <f t="shared" si="109"/>
        <v>42399</v>
      </c>
      <c r="AL91" s="168">
        <f t="shared" si="87"/>
        <v>1869.08</v>
      </c>
      <c r="AM91" s="169">
        <f t="shared" si="88"/>
        <v>2277.88</v>
      </c>
      <c r="AN91" s="170">
        <f t="shared" si="89"/>
        <v>30</v>
      </c>
      <c r="AO91" s="170">
        <f t="shared" si="90"/>
        <v>1</v>
      </c>
      <c r="AP91" s="170">
        <f t="shared" si="91"/>
        <v>0</v>
      </c>
      <c r="AQ91" s="171">
        <f t="shared" si="92"/>
        <v>57.295525951999991</v>
      </c>
      <c r="AR91" s="171">
        <f t="shared" si="93"/>
        <v>69.827044672</v>
      </c>
      <c r="AS91" s="171">
        <f t="shared" si="94"/>
        <v>12.531518720000008</v>
      </c>
      <c r="AT91" s="167">
        <f t="shared" si="110"/>
        <v>42370</v>
      </c>
      <c r="AU91" s="167">
        <f t="shared" si="111"/>
        <v>42399</v>
      </c>
      <c r="AV91" s="168">
        <f t="shared" si="95"/>
        <v>1869.08</v>
      </c>
      <c r="AW91" s="169">
        <f t="shared" si="96"/>
        <v>2277.88</v>
      </c>
      <c r="AX91" s="170">
        <f t="shared" si="97"/>
        <v>30</v>
      </c>
      <c r="AY91" s="170">
        <f t="shared" si="98"/>
        <v>1</v>
      </c>
      <c r="AZ91" s="170">
        <f t="shared" si="99"/>
        <v>0</v>
      </c>
      <c r="BA91" s="171">
        <f t="shared" si="100"/>
        <v>76.416961983999997</v>
      </c>
      <c r="BB91" s="171">
        <f t="shared" si="101"/>
        <v>93.130668224000004</v>
      </c>
      <c r="BC91" s="171">
        <f t="shared" si="102"/>
        <v>16.713706240000008</v>
      </c>
      <c r="BD91" s="171">
        <f t="shared" si="103"/>
        <v>126.29434496000007</v>
      </c>
    </row>
    <row r="92" spans="1:56">
      <c r="A92" s="587" t="str">
        <f>'BANCO DADOS-CUSTO TOTAL'!C113</f>
        <v>Ribeirão das Neves</v>
      </c>
      <c r="B92" s="588" t="str">
        <f>'BANCO DADOS-CUSTO TOTAL'!H113</f>
        <v>BELTRANO 12417</v>
      </c>
      <c r="C92" s="588" t="str">
        <f>'BANCO DADOS-CUSTO TOTAL'!I113</f>
        <v>VIGILANTE ARMADO - 12X36 DIURNO</v>
      </c>
      <c r="D92" s="172"/>
      <c r="E92" s="172"/>
      <c r="F92" s="167">
        <v>42370</v>
      </c>
      <c r="G92" s="167">
        <v>42399</v>
      </c>
      <c r="H92" s="168">
        <f t="shared" si="64"/>
        <v>1869.08</v>
      </c>
      <c r="I92" s="169">
        <f>'BANCO DADOS-CUSTO TOTAL'!Y113</f>
        <v>2277.88</v>
      </c>
      <c r="J92" s="170">
        <f t="shared" si="65"/>
        <v>30</v>
      </c>
      <c r="K92" s="170">
        <f t="shared" si="66"/>
        <v>1</v>
      </c>
      <c r="L92" s="170">
        <f t="shared" si="67"/>
        <v>0</v>
      </c>
      <c r="M92" s="171">
        <f t="shared" si="68"/>
        <v>155.69436399999998</v>
      </c>
      <c r="N92" s="171">
        <f t="shared" si="69"/>
        <v>189.74740400000002</v>
      </c>
      <c r="O92" s="171">
        <f t="shared" si="70"/>
        <v>34.053040000000038</v>
      </c>
      <c r="P92" s="167">
        <f t="shared" si="104"/>
        <v>42370</v>
      </c>
      <c r="Q92" s="167">
        <f t="shared" si="105"/>
        <v>42399</v>
      </c>
      <c r="R92" s="168">
        <f t="shared" si="71"/>
        <v>1869.08</v>
      </c>
      <c r="S92" s="169">
        <f t="shared" si="72"/>
        <v>2277.88</v>
      </c>
      <c r="T92" s="170">
        <f t="shared" si="73"/>
        <v>30</v>
      </c>
      <c r="U92" s="170">
        <f t="shared" si="74"/>
        <v>1</v>
      </c>
      <c r="V92" s="170">
        <f t="shared" si="75"/>
        <v>0</v>
      </c>
      <c r="W92" s="171">
        <f t="shared" si="76"/>
        <v>207.654788</v>
      </c>
      <c r="X92" s="171">
        <f t="shared" si="77"/>
        <v>253.07246800000001</v>
      </c>
      <c r="Y92" s="171">
        <f t="shared" si="78"/>
        <v>45.417680000000018</v>
      </c>
      <c r="Z92" s="167">
        <f t="shared" si="106"/>
        <v>42370</v>
      </c>
      <c r="AA92" s="167">
        <f t="shared" si="107"/>
        <v>42399</v>
      </c>
      <c r="AB92" s="168">
        <f t="shared" si="79"/>
        <v>1869.08</v>
      </c>
      <c r="AC92" s="169">
        <f t="shared" si="80"/>
        <v>2277.88</v>
      </c>
      <c r="AD92" s="170">
        <f t="shared" si="81"/>
        <v>30</v>
      </c>
      <c r="AE92" s="170">
        <f t="shared" si="82"/>
        <v>1</v>
      </c>
      <c r="AF92" s="170">
        <f t="shared" si="83"/>
        <v>0</v>
      </c>
      <c r="AG92" s="171">
        <f t="shared" si="84"/>
        <v>80.370439999999988</v>
      </c>
      <c r="AH92" s="171">
        <f t="shared" si="85"/>
        <v>97.94883999999999</v>
      </c>
      <c r="AI92" s="171">
        <f t="shared" si="86"/>
        <v>17.578400000000002</v>
      </c>
      <c r="AJ92" s="167">
        <f t="shared" si="108"/>
        <v>42370</v>
      </c>
      <c r="AK92" s="167">
        <f t="shared" si="109"/>
        <v>42399</v>
      </c>
      <c r="AL92" s="168">
        <f t="shared" si="87"/>
        <v>1869.08</v>
      </c>
      <c r="AM92" s="169">
        <f t="shared" si="88"/>
        <v>2277.88</v>
      </c>
      <c r="AN92" s="170">
        <f t="shared" si="89"/>
        <v>30</v>
      </c>
      <c r="AO92" s="170">
        <f t="shared" si="90"/>
        <v>1</v>
      </c>
      <c r="AP92" s="170">
        <f t="shared" si="91"/>
        <v>0</v>
      </c>
      <c r="AQ92" s="171">
        <f t="shared" si="92"/>
        <v>57.295525951999991</v>
      </c>
      <c r="AR92" s="171">
        <f t="shared" si="93"/>
        <v>69.827044672</v>
      </c>
      <c r="AS92" s="171">
        <f t="shared" si="94"/>
        <v>12.531518720000008</v>
      </c>
      <c r="AT92" s="167">
        <f t="shared" si="110"/>
        <v>42370</v>
      </c>
      <c r="AU92" s="167">
        <f t="shared" si="111"/>
        <v>42399</v>
      </c>
      <c r="AV92" s="168">
        <f t="shared" si="95"/>
        <v>1869.08</v>
      </c>
      <c r="AW92" s="169">
        <f t="shared" si="96"/>
        <v>2277.88</v>
      </c>
      <c r="AX92" s="170">
        <f t="shared" si="97"/>
        <v>30</v>
      </c>
      <c r="AY92" s="170">
        <f t="shared" si="98"/>
        <v>1</v>
      </c>
      <c r="AZ92" s="170">
        <f t="shared" si="99"/>
        <v>0</v>
      </c>
      <c r="BA92" s="171">
        <f t="shared" si="100"/>
        <v>76.416961983999997</v>
      </c>
      <c r="BB92" s="171">
        <f t="shared" si="101"/>
        <v>93.130668224000004</v>
      </c>
      <c r="BC92" s="171">
        <f t="shared" si="102"/>
        <v>16.713706240000008</v>
      </c>
      <c r="BD92" s="171">
        <f t="shared" si="103"/>
        <v>126.29434496000007</v>
      </c>
    </row>
    <row r="93" spans="1:56">
      <c r="A93" s="587" t="str">
        <f>'BANCO DADOS-CUSTO TOTAL'!C114</f>
        <v>Ribeirão das Neves</v>
      </c>
      <c r="B93" s="588" t="str">
        <f>'BANCO DADOS-CUSTO TOTAL'!H114</f>
        <v>BELTRANO 12418</v>
      </c>
      <c r="C93" s="588" t="str">
        <f>'BANCO DADOS-CUSTO TOTAL'!I114</f>
        <v>VIGILANTE ARMADO - 12X36 NOTURNO</v>
      </c>
      <c r="D93" s="172"/>
      <c r="E93" s="172"/>
      <c r="F93" s="167">
        <v>42370</v>
      </c>
      <c r="G93" s="167">
        <v>42399</v>
      </c>
      <c r="H93" s="168">
        <f t="shared" si="64"/>
        <v>2229.92</v>
      </c>
      <c r="I93" s="169">
        <f>'BANCO DADOS-CUSTO TOTAL'!Y114</f>
        <v>2717.9</v>
      </c>
      <c r="J93" s="170">
        <f t="shared" si="65"/>
        <v>30</v>
      </c>
      <c r="K93" s="170">
        <f t="shared" si="66"/>
        <v>1</v>
      </c>
      <c r="L93" s="170">
        <f t="shared" si="67"/>
        <v>0</v>
      </c>
      <c r="M93" s="171">
        <f t="shared" si="68"/>
        <v>185.75233600000001</v>
      </c>
      <c r="N93" s="171">
        <f t="shared" si="69"/>
        <v>226.40107</v>
      </c>
      <c r="O93" s="171">
        <f t="shared" si="70"/>
        <v>40.64873399999999</v>
      </c>
      <c r="P93" s="167">
        <f t="shared" si="104"/>
        <v>42370</v>
      </c>
      <c r="Q93" s="167">
        <f t="shared" si="105"/>
        <v>42399</v>
      </c>
      <c r="R93" s="168">
        <f t="shared" si="71"/>
        <v>2229.92</v>
      </c>
      <c r="S93" s="169">
        <f t="shared" si="72"/>
        <v>2717.9</v>
      </c>
      <c r="T93" s="170">
        <f t="shared" si="73"/>
        <v>30</v>
      </c>
      <c r="U93" s="170">
        <f t="shared" si="74"/>
        <v>1</v>
      </c>
      <c r="V93" s="170">
        <f t="shared" si="75"/>
        <v>0</v>
      </c>
      <c r="W93" s="171">
        <f t="shared" si="76"/>
        <v>247.74411200000003</v>
      </c>
      <c r="X93" s="171">
        <f t="shared" si="77"/>
        <v>301.95869000000005</v>
      </c>
      <c r="Y93" s="171">
        <f t="shared" si="78"/>
        <v>54.214578000000017</v>
      </c>
      <c r="Z93" s="167">
        <f t="shared" si="106"/>
        <v>42370</v>
      </c>
      <c r="AA93" s="167">
        <f t="shared" si="107"/>
        <v>42399</v>
      </c>
      <c r="AB93" s="168">
        <f t="shared" si="79"/>
        <v>2229.92</v>
      </c>
      <c r="AC93" s="169">
        <f t="shared" si="80"/>
        <v>2717.9</v>
      </c>
      <c r="AD93" s="170">
        <f t="shared" si="81"/>
        <v>30</v>
      </c>
      <c r="AE93" s="170">
        <f t="shared" si="82"/>
        <v>1</v>
      </c>
      <c r="AF93" s="170">
        <f t="shared" si="83"/>
        <v>0</v>
      </c>
      <c r="AG93" s="171">
        <f t="shared" si="84"/>
        <v>95.886559999999989</v>
      </c>
      <c r="AH93" s="171">
        <f t="shared" si="85"/>
        <v>116.86969999999999</v>
      </c>
      <c r="AI93" s="171">
        <f t="shared" si="86"/>
        <v>20.983140000000006</v>
      </c>
      <c r="AJ93" s="167">
        <f t="shared" si="108"/>
        <v>42370</v>
      </c>
      <c r="AK93" s="167">
        <f t="shared" si="109"/>
        <v>42399</v>
      </c>
      <c r="AL93" s="168">
        <f t="shared" si="87"/>
        <v>2229.92</v>
      </c>
      <c r="AM93" s="169">
        <f t="shared" si="88"/>
        <v>2717.9</v>
      </c>
      <c r="AN93" s="170">
        <f t="shared" si="89"/>
        <v>30</v>
      </c>
      <c r="AO93" s="170">
        <f t="shared" si="90"/>
        <v>1</v>
      </c>
      <c r="AP93" s="170">
        <f t="shared" si="91"/>
        <v>0</v>
      </c>
      <c r="AQ93" s="171">
        <f t="shared" si="92"/>
        <v>68.356859647999997</v>
      </c>
      <c r="AR93" s="171">
        <f t="shared" si="93"/>
        <v>83.315593759999999</v>
      </c>
      <c r="AS93" s="171">
        <f t="shared" si="94"/>
        <v>14.958734112000002</v>
      </c>
      <c r="AT93" s="167">
        <f t="shared" si="110"/>
        <v>42370</v>
      </c>
      <c r="AU93" s="167">
        <f t="shared" si="111"/>
        <v>42399</v>
      </c>
      <c r="AV93" s="168">
        <f t="shared" si="95"/>
        <v>2229.92</v>
      </c>
      <c r="AW93" s="169">
        <f t="shared" si="96"/>
        <v>2717.9</v>
      </c>
      <c r="AX93" s="170">
        <f t="shared" si="97"/>
        <v>30</v>
      </c>
      <c r="AY93" s="170">
        <f t="shared" si="98"/>
        <v>1</v>
      </c>
      <c r="AZ93" s="170">
        <f t="shared" si="99"/>
        <v>0</v>
      </c>
      <c r="BA93" s="171">
        <f t="shared" si="100"/>
        <v>91.169833216000001</v>
      </c>
      <c r="BB93" s="171">
        <f t="shared" si="101"/>
        <v>111.12079792</v>
      </c>
      <c r="BC93" s="171">
        <f t="shared" si="102"/>
        <v>19.950964704</v>
      </c>
      <c r="BD93" s="171">
        <f t="shared" si="103"/>
        <v>150.756150816</v>
      </c>
    </row>
    <row r="94" spans="1:56">
      <c r="A94" s="587" t="str">
        <f>'BANCO DADOS-CUSTO TOTAL'!C115</f>
        <v>Ribeirão das Neves</v>
      </c>
      <c r="B94" s="588" t="str">
        <f>'BANCO DADOS-CUSTO TOTAL'!H115</f>
        <v>BELTRANO 12419</v>
      </c>
      <c r="C94" s="588" t="str">
        <f>'BANCO DADOS-CUSTO TOTAL'!I115</f>
        <v>VIGILANTE ARMADO - 12X36 NOTURNO</v>
      </c>
      <c r="D94" s="172"/>
      <c r="E94" s="172"/>
      <c r="F94" s="167">
        <v>42370</v>
      </c>
      <c r="G94" s="167">
        <v>42399</v>
      </c>
      <c r="H94" s="168">
        <f t="shared" si="64"/>
        <v>2229.92</v>
      </c>
      <c r="I94" s="169">
        <f>'BANCO DADOS-CUSTO TOTAL'!Y115</f>
        <v>2717.9</v>
      </c>
      <c r="J94" s="170">
        <f t="shared" si="65"/>
        <v>30</v>
      </c>
      <c r="K94" s="170">
        <f t="shared" si="66"/>
        <v>1</v>
      </c>
      <c r="L94" s="170">
        <f t="shared" si="67"/>
        <v>0</v>
      </c>
      <c r="M94" s="171">
        <f t="shared" si="68"/>
        <v>185.75233600000001</v>
      </c>
      <c r="N94" s="171">
        <f t="shared" si="69"/>
        <v>226.40107</v>
      </c>
      <c r="O94" s="171">
        <f t="shared" si="70"/>
        <v>40.64873399999999</v>
      </c>
      <c r="P94" s="167">
        <f t="shared" si="104"/>
        <v>42370</v>
      </c>
      <c r="Q94" s="167">
        <f t="shared" si="105"/>
        <v>42399</v>
      </c>
      <c r="R94" s="168">
        <f t="shared" si="71"/>
        <v>2229.92</v>
      </c>
      <c r="S94" s="169">
        <f t="shared" si="72"/>
        <v>2717.9</v>
      </c>
      <c r="T94" s="170">
        <f t="shared" si="73"/>
        <v>30</v>
      </c>
      <c r="U94" s="170">
        <f t="shared" si="74"/>
        <v>1</v>
      </c>
      <c r="V94" s="170">
        <f t="shared" si="75"/>
        <v>0</v>
      </c>
      <c r="W94" s="171">
        <f t="shared" si="76"/>
        <v>247.74411200000003</v>
      </c>
      <c r="X94" s="171">
        <f t="shared" si="77"/>
        <v>301.95869000000005</v>
      </c>
      <c r="Y94" s="171">
        <f t="shared" si="78"/>
        <v>54.214578000000017</v>
      </c>
      <c r="Z94" s="167">
        <f t="shared" si="106"/>
        <v>42370</v>
      </c>
      <c r="AA94" s="167">
        <f t="shared" si="107"/>
        <v>42399</v>
      </c>
      <c r="AB94" s="168">
        <f t="shared" si="79"/>
        <v>2229.92</v>
      </c>
      <c r="AC94" s="169">
        <f t="shared" si="80"/>
        <v>2717.9</v>
      </c>
      <c r="AD94" s="170">
        <f t="shared" si="81"/>
        <v>30</v>
      </c>
      <c r="AE94" s="170">
        <f t="shared" si="82"/>
        <v>1</v>
      </c>
      <c r="AF94" s="170">
        <f t="shared" si="83"/>
        <v>0</v>
      </c>
      <c r="AG94" s="171">
        <f t="shared" si="84"/>
        <v>95.886559999999989</v>
      </c>
      <c r="AH94" s="171">
        <f t="shared" si="85"/>
        <v>116.86969999999999</v>
      </c>
      <c r="AI94" s="171">
        <f t="shared" si="86"/>
        <v>20.983140000000006</v>
      </c>
      <c r="AJ94" s="167">
        <f t="shared" si="108"/>
        <v>42370</v>
      </c>
      <c r="AK94" s="167">
        <f t="shared" si="109"/>
        <v>42399</v>
      </c>
      <c r="AL94" s="168">
        <f t="shared" si="87"/>
        <v>2229.92</v>
      </c>
      <c r="AM94" s="169">
        <f t="shared" si="88"/>
        <v>2717.9</v>
      </c>
      <c r="AN94" s="170">
        <f t="shared" si="89"/>
        <v>30</v>
      </c>
      <c r="AO94" s="170">
        <f t="shared" si="90"/>
        <v>1</v>
      </c>
      <c r="AP94" s="170">
        <f t="shared" si="91"/>
        <v>0</v>
      </c>
      <c r="AQ94" s="171">
        <f t="shared" si="92"/>
        <v>68.356859647999997</v>
      </c>
      <c r="AR94" s="171">
        <f t="shared" si="93"/>
        <v>83.315593759999999</v>
      </c>
      <c r="AS94" s="171">
        <f t="shared" si="94"/>
        <v>14.958734112000002</v>
      </c>
      <c r="AT94" s="167">
        <f t="shared" si="110"/>
        <v>42370</v>
      </c>
      <c r="AU94" s="167">
        <f t="shared" si="111"/>
        <v>42399</v>
      </c>
      <c r="AV94" s="168">
        <f t="shared" si="95"/>
        <v>2229.92</v>
      </c>
      <c r="AW94" s="169">
        <f t="shared" si="96"/>
        <v>2717.9</v>
      </c>
      <c r="AX94" s="170">
        <f t="shared" si="97"/>
        <v>30</v>
      </c>
      <c r="AY94" s="170">
        <f t="shared" si="98"/>
        <v>1</v>
      </c>
      <c r="AZ94" s="170">
        <f t="shared" si="99"/>
        <v>0</v>
      </c>
      <c r="BA94" s="171">
        <f t="shared" si="100"/>
        <v>91.169833216000001</v>
      </c>
      <c r="BB94" s="171">
        <f t="shared" si="101"/>
        <v>111.12079792</v>
      </c>
      <c r="BC94" s="171">
        <f t="shared" si="102"/>
        <v>19.950964704</v>
      </c>
      <c r="BD94" s="171">
        <f t="shared" si="103"/>
        <v>150.756150816</v>
      </c>
    </row>
    <row r="95" spans="1:56">
      <c r="A95" s="587" t="str">
        <f>'BANCO DADOS-CUSTO TOTAL'!C117</f>
        <v>Santa Luzia</v>
      </c>
      <c r="B95" s="588" t="str">
        <f>'BANCO DADOS-CUSTO TOTAL'!H117</f>
        <v>BELTRANO 12420</v>
      </c>
      <c r="C95" s="588" t="str">
        <f>'BANCO DADOS-CUSTO TOTAL'!I117</f>
        <v>VIGILANTE ARMADO - 12X36 DIURNO</v>
      </c>
      <c r="D95" s="172"/>
      <c r="E95" s="172"/>
      <c r="F95" s="167">
        <v>42370</v>
      </c>
      <c r="G95" s="167">
        <v>42399</v>
      </c>
      <c r="H95" s="168">
        <f t="shared" si="64"/>
        <v>1869.08</v>
      </c>
      <c r="I95" s="169">
        <f>'BANCO DADOS-CUSTO TOTAL'!Y117</f>
        <v>2277.88</v>
      </c>
      <c r="J95" s="170">
        <f t="shared" si="65"/>
        <v>30</v>
      </c>
      <c r="K95" s="170">
        <f t="shared" si="66"/>
        <v>1</v>
      </c>
      <c r="L95" s="170">
        <f t="shared" si="67"/>
        <v>0</v>
      </c>
      <c r="M95" s="171">
        <f t="shared" si="68"/>
        <v>155.69436399999998</v>
      </c>
      <c r="N95" s="171">
        <f t="shared" si="69"/>
        <v>189.74740400000002</v>
      </c>
      <c r="O95" s="171">
        <f t="shared" si="70"/>
        <v>34.053040000000038</v>
      </c>
      <c r="P95" s="167">
        <f t="shared" si="104"/>
        <v>42370</v>
      </c>
      <c r="Q95" s="167">
        <f t="shared" si="105"/>
        <v>42399</v>
      </c>
      <c r="R95" s="168">
        <f t="shared" si="71"/>
        <v>1869.08</v>
      </c>
      <c r="S95" s="169">
        <f t="shared" si="72"/>
        <v>2277.88</v>
      </c>
      <c r="T95" s="170">
        <f t="shared" si="73"/>
        <v>30</v>
      </c>
      <c r="U95" s="170">
        <f t="shared" si="74"/>
        <v>1</v>
      </c>
      <c r="V95" s="170">
        <f t="shared" si="75"/>
        <v>0</v>
      </c>
      <c r="W95" s="171">
        <f t="shared" si="76"/>
        <v>207.654788</v>
      </c>
      <c r="X95" s="171">
        <f t="shared" si="77"/>
        <v>253.07246800000001</v>
      </c>
      <c r="Y95" s="171">
        <f t="shared" si="78"/>
        <v>45.417680000000018</v>
      </c>
      <c r="Z95" s="167">
        <f t="shared" si="106"/>
        <v>42370</v>
      </c>
      <c r="AA95" s="167">
        <f t="shared" si="107"/>
        <v>42399</v>
      </c>
      <c r="AB95" s="168">
        <f t="shared" si="79"/>
        <v>1869.08</v>
      </c>
      <c r="AC95" s="169">
        <f t="shared" si="80"/>
        <v>2277.88</v>
      </c>
      <c r="AD95" s="170">
        <f t="shared" si="81"/>
        <v>30</v>
      </c>
      <c r="AE95" s="170">
        <f t="shared" si="82"/>
        <v>1</v>
      </c>
      <c r="AF95" s="170">
        <f t="shared" si="83"/>
        <v>0</v>
      </c>
      <c r="AG95" s="171">
        <f t="shared" si="84"/>
        <v>80.370439999999988</v>
      </c>
      <c r="AH95" s="171">
        <f t="shared" si="85"/>
        <v>97.94883999999999</v>
      </c>
      <c r="AI95" s="171">
        <f t="shared" si="86"/>
        <v>17.578400000000002</v>
      </c>
      <c r="AJ95" s="167">
        <f t="shared" si="108"/>
        <v>42370</v>
      </c>
      <c r="AK95" s="167">
        <f t="shared" si="109"/>
        <v>42399</v>
      </c>
      <c r="AL95" s="168">
        <f t="shared" si="87"/>
        <v>1869.08</v>
      </c>
      <c r="AM95" s="169">
        <f t="shared" si="88"/>
        <v>2277.88</v>
      </c>
      <c r="AN95" s="170">
        <f t="shared" si="89"/>
        <v>30</v>
      </c>
      <c r="AO95" s="170">
        <f t="shared" si="90"/>
        <v>1</v>
      </c>
      <c r="AP95" s="170">
        <f t="shared" si="91"/>
        <v>0</v>
      </c>
      <c r="AQ95" s="171">
        <f t="shared" si="92"/>
        <v>57.295525951999991</v>
      </c>
      <c r="AR95" s="171">
        <f t="shared" si="93"/>
        <v>69.827044672</v>
      </c>
      <c r="AS95" s="171">
        <f t="shared" si="94"/>
        <v>12.531518720000008</v>
      </c>
      <c r="AT95" s="167">
        <f t="shared" si="110"/>
        <v>42370</v>
      </c>
      <c r="AU95" s="167">
        <f t="shared" si="111"/>
        <v>42399</v>
      </c>
      <c r="AV95" s="168">
        <f t="shared" si="95"/>
        <v>1869.08</v>
      </c>
      <c r="AW95" s="169">
        <f t="shared" si="96"/>
        <v>2277.88</v>
      </c>
      <c r="AX95" s="170">
        <f t="shared" si="97"/>
        <v>30</v>
      </c>
      <c r="AY95" s="170">
        <f t="shared" si="98"/>
        <v>1</v>
      </c>
      <c r="AZ95" s="170">
        <f t="shared" si="99"/>
        <v>0</v>
      </c>
      <c r="BA95" s="171">
        <f t="shared" si="100"/>
        <v>76.416961983999997</v>
      </c>
      <c r="BB95" s="171">
        <f t="shared" si="101"/>
        <v>93.130668224000004</v>
      </c>
      <c r="BC95" s="171">
        <f t="shared" si="102"/>
        <v>16.713706240000008</v>
      </c>
      <c r="BD95" s="171">
        <f t="shared" si="103"/>
        <v>126.29434496000007</v>
      </c>
    </row>
    <row r="96" spans="1:56">
      <c r="A96" s="587" t="str">
        <f>'BANCO DADOS-CUSTO TOTAL'!C118</f>
        <v>Santa Luzia</v>
      </c>
      <c r="B96" s="588" t="str">
        <f>'BANCO DADOS-CUSTO TOTAL'!H118</f>
        <v>BELTRANO 12421</v>
      </c>
      <c r="C96" s="588" t="str">
        <f>'BANCO DADOS-CUSTO TOTAL'!I118</f>
        <v>VIGILANTE ARMADO - 12X36 DIURNO</v>
      </c>
      <c r="D96" s="172"/>
      <c r="E96" s="172"/>
      <c r="F96" s="167">
        <v>42370</v>
      </c>
      <c r="G96" s="167">
        <v>42399</v>
      </c>
      <c r="H96" s="168">
        <f t="shared" si="64"/>
        <v>1869.08</v>
      </c>
      <c r="I96" s="169">
        <f>'BANCO DADOS-CUSTO TOTAL'!Y118</f>
        <v>2277.88</v>
      </c>
      <c r="J96" s="170">
        <f t="shared" si="65"/>
        <v>30</v>
      </c>
      <c r="K96" s="170">
        <f t="shared" si="66"/>
        <v>1</v>
      </c>
      <c r="L96" s="170">
        <f t="shared" si="67"/>
        <v>0</v>
      </c>
      <c r="M96" s="171">
        <f t="shared" si="68"/>
        <v>155.69436399999998</v>
      </c>
      <c r="N96" s="171">
        <f t="shared" si="69"/>
        <v>189.74740400000002</v>
      </c>
      <c r="O96" s="171">
        <f t="shared" si="70"/>
        <v>34.053040000000038</v>
      </c>
      <c r="P96" s="167">
        <f t="shared" si="104"/>
        <v>42370</v>
      </c>
      <c r="Q96" s="167">
        <f t="shared" si="105"/>
        <v>42399</v>
      </c>
      <c r="R96" s="168">
        <f t="shared" si="71"/>
        <v>1869.08</v>
      </c>
      <c r="S96" s="169">
        <f t="shared" si="72"/>
        <v>2277.88</v>
      </c>
      <c r="T96" s="170">
        <f t="shared" si="73"/>
        <v>30</v>
      </c>
      <c r="U96" s="170">
        <f t="shared" si="74"/>
        <v>1</v>
      </c>
      <c r="V96" s="170">
        <f t="shared" si="75"/>
        <v>0</v>
      </c>
      <c r="W96" s="171">
        <f t="shared" si="76"/>
        <v>207.654788</v>
      </c>
      <c r="X96" s="171">
        <f t="shared" si="77"/>
        <v>253.07246800000001</v>
      </c>
      <c r="Y96" s="171">
        <f t="shared" si="78"/>
        <v>45.417680000000018</v>
      </c>
      <c r="Z96" s="167">
        <f t="shared" si="106"/>
        <v>42370</v>
      </c>
      <c r="AA96" s="167">
        <f t="shared" si="107"/>
        <v>42399</v>
      </c>
      <c r="AB96" s="168">
        <f t="shared" si="79"/>
        <v>1869.08</v>
      </c>
      <c r="AC96" s="169">
        <f t="shared" si="80"/>
        <v>2277.88</v>
      </c>
      <c r="AD96" s="170">
        <f t="shared" si="81"/>
        <v>30</v>
      </c>
      <c r="AE96" s="170">
        <f t="shared" si="82"/>
        <v>1</v>
      </c>
      <c r="AF96" s="170">
        <f t="shared" si="83"/>
        <v>0</v>
      </c>
      <c r="AG96" s="171">
        <f t="shared" si="84"/>
        <v>80.370439999999988</v>
      </c>
      <c r="AH96" s="171">
        <f t="shared" si="85"/>
        <v>97.94883999999999</v>
      </c>
      <c r="AI96" s="171">
        <f t="shared" si="86"/>
        <v>17.578400000000002</v>
      </c>
      <c r="AJ96" s="167">
        <f t="shared" si="108"/>
        <v>42370</v>
      </c>
      <c r="AK96" s="167">
        <f t="shared" si="109"/>
        <v>42399</v>
      </c>
      <c r="AL96" s="168">
        <f t="shared" si="87"/>
        <v>1869.08</v>
      </c>
      <c r="AM96" s="169">
        <f t="shared" si="88"/>
        <v>2277.88</v>
      </c>
      <c r="AN96" s="170">
        <f t="shared" si="89"/>
        <v>30</v>
      </c>
      <c r="AO96" s="170">
        <f t="shared" si="90"/>
        <v>1</v>
      </c>
      <c r="AP96" s="170">
        <f t="shared" si="91"/>
        <v>0</v>
      </c>
      <c r="AQ96" s="171">
        <f t="shared" si="92"/>
        <v>57.295525951999991</v>
      </c>
      <c r="AR96" s="171">
        <f t="shared" si="93"/>
        <v>69.827044672</v>
      </c>
      <c r="AS96" s="171">
        <f t="shared" si="94"/>
        <v>12.531518720000008</v>
      </c>
      <c r="AT96" s="167">
        <f t="shared" si="110"/>
        <v>42370</v>
      </c>
      <c r="AU96" s="167">
        <f t="shared" si="111"/>
        <v>42399</v>
      </c>
      <c r="AV96" s="168">
        <f t="shared" si="95"/>
        <v>1869.08</v>
      </c>
      <c r="AW96" s="169">
        <f t="shared" si="96"/>
        <v>2277.88</v>
      </c>
      <c r="AX96" s="170">
        <f t="shared" si="97"/>
        <v>30</v>
      </c>
      <c r="AY96" s="170">
        <f t="shared" si="98"/>
        <v>1</v>
      </c>
      <c r="AZ96" s="170">
        <f t="shared" si="99"/>
        <v>0</v>
      </c>
      <c r="BA96" s="171">
        <f t="shared" si="100"/>
        <v>76.416961983999997</v>
      </c>
      <c r="BB96" s="171">
        <f t="shared" si="101"/>
        <v>93.130668224000004</v>
      </c>
      <c r="BC96" s="171">
        <f t="shared" si="102"/>
        <v>16.713706240000008</v>
      </c>
      <c r="BD96" s="171">
        <f t="shared" si="103"/>
        <v>126.29434496000007</v>
      </c>
    </row>
    <row r="97" spans="1:56">
      <c r="A97" s="587" t="str">
        <f>'BANCO DADOS-CUSTO TOTAL'!C119</f>
        <v>Santa Luzia</v>
      </c>
      <c r="B97" s="588" t="str">
        <f>'BANCO DADOS-CUSTO TOTAL'!H119</f>
        <v>BELTRANO 12422</v>
      </c>
      <c r="C97" s="588" t="str">
        <f>'BANCO DADOS-CUSTO TOTAL'!I119</f>
        <v>VIGILANTE ARMADO - 12X36 NOTURNO</v>
      </c>
      <c r="D97" s="172"/>
      <c r="E97" s="172"/>
      <c r="F97" s="167">
        <v>42370</v>
      </c>
      <c r="G97" s="167">
        <v>42399</v>
      </c>
      <c r="H97" s="168">
        <f t="shared" si="64"/>
        <v>2229.92</v>
      </c>
      <c r="I97" s="169">
        <f>'BANCO DADOS-CUSTO TOTAL'!Y119</f>
        <v>2717.9</v>
      </c>
      <c r="J97" s="170">
        <f t="shared" si="65"/>
        <v>30</v>
      </c>
      <c r="K97" s="170">
        <f t="shared" si="66"/>
        <v>1</v>
      </c>
      <c r="L97" s="170">
        <f t="shared" si="67"/>
        <v>0</v>
      </c>
      <c r="M97" s="171">
        <f t="shared" si="68"/>
        <v>185.75233600000001</v>
      </c>
      <c r="N97" s="171">
        <f t="shared" si="69"/>
        <v>226.40107</v>
      </c>
      <c r="O97" s="171">
        <f t="shared" si="70"/>
        <v>40.64873399999999</v>
      </c>
      <c r="P97" s="167">
        <f t="shared" si="104"/>
        <v>42370</v>
      </c>
      <c r="Q97" s="167">
        <f t="shared" si="105"/>
        <v>42399</v>
      </c>
      <c r="R97" s="168">
        <f t="shared" si="71"/>
        <v>2229.92</v>
      </c>
      <c r="S97" s="169">
        <f t="shared" si="72"/>
        <v>2717.9</v>
      </c>
      <c r="T97" s="170">
        <f t="shared" si="73"/>
        <v>30</v>
      </c>
      <c r="U97" s="170">
        <f t="shared" si="74"/>
        <v>1</v>
      </c>
      <c r="V97" s="170">
        <f t="shared" si="75"/>
        <v>0</v>
      </c>
      <c r="W97" s="171">
        <f t="shared" si="76"/>
        <v>247.74411200000003</v>
      </c>
      <c r="X97" s="171">
        <f t="shared" si="77"/>
        <v>301.95869000000005</v>
      </c>
      <c r="Y97" s="171">
        <f t="shared" si="78"/>
        <v>54.214578000000017</v>
      </c>
      <c r="Z97" s="167">
        <f t="shared" si="106"/>
        <v>42370</v>
      </c>
      <c r="AA97" s="167">
        <f t="shared" si="107"/>
        <v>42399</v>
      </c>
      <c r="AB97" s="168">
        <f t="shared" si="79"/>
        <v>2229.92</v>
      </c>
      <c r="AC97" s="169">
        <f t="shared" si="80"/>
        <v>2717.9</v>
      </c>
      <c r="AD97" s="170">
        <f t="shared" si="81"/>
        <v>30</v>
      </c>
      <c r="AE97" s="170">
        <f t="shared" si="82"/>
        <v>1</v>
      </c>
      <c r="AF97" s="170">
        <f t="shared" si="83"/>
        <v>0</v>
      </c>
      <c r="AG97" s="171">
        <f t="shared" si="84"/>
        <v>95.886559999999989</v>
      </c>
      <c r="AH97" s="171">
        <f t="shared" si="85"/>
        <v>116.86969999999999</v>
      </c>
      <c r="AI97" s="171">
        <f t="shared" si="86"/>
        <v>20.983140000000006</v>
      </c>
      <c r="AJ97" s="167">
        <f t="shared" si="108"/>
        <v>42370</v>
      </c>
      <c r="AK97" s="167">
        <f t="shared" si="109"/>
        <v>42399</v>
      </c>
      <c r="AL97" s="168">
        <f t="shared" si="87"/>
        <v>2229.92</v>
      </c>
      <c r="AM97" s="169">
        <f t="shared" si="88"/>
        <v>2717.9</v>
      </c>
      <c r="AN97" s="170">
        <f t="shared" si="89"/>
        <v>30</v>
      </c>
      <c r="AO97" s="170">
        <f t="shared" si="90"/>
        <v>1</v>
      </c>
      <c r="AP97" s="170">
        <f t="shared" si="91"/>
        <v>0</v>
      </c>
      <c r="AQ97" s="171">
        <f t="shared" si="92"/>
        <v>68.356859647999997</v>
      </c>
      <c r="AR97" s="171">
        <f t="shared" si="93"/>
        <v>83.315593759999999</v>
      </c>
      <c r="AS97" s="171">
        <f t="shared" si="94"/>
        <v>14.958734112000002</v>
      </c>
      <c r="AT97" s="167">
        <f t="shared" si="110"/>
        <v>42370</v>
      </c>
      <c r="AU97" s="167">
        <f t="shared" si="111"/>
        <v>42399</v>
      </c>
      <c r="AV97" s="168">
        <f t="shared" si="95"/>
        <v>2229.92</v>
      </c>
      <c r="AW97" s="169">
        <f t="shared" si="96"/>
        <v>2717.9</v>
      </c>
      <c r="AX97" s="170">
        <f t="shared" si="97"/>
        <v>30</v>
      </c>
      <c r="AY97" s="170">
        <f t="shared" si="98"/>
        <v>1</v>
      </c>
      <c r="AZ97" s="170">
        <f t="shared" si="99"/>
        <v>0</v>
      </c>
      <c r="BA97" s="171">
        <f t="shared" si="100"/>
        <v>91.169833216000001</v>
      </c>
      <c r="BB97" s="171">
        <f t="shared" si="101"/>
        <v>111.12079792</v>
      </c>
      <c r="BC97" s="171">
        <f t="shared" si="102"/>
        <v>19.950964704</v>
      </c>
      <c r="BD97" s="171">
        <f t="shared" si="103"/>
        <v>150.756150816</v>
      </c>
    </row>
    <row r="98" spans="1:56">
      <c r="A98" s="587" t="str">
        <f>'BANCO DADOS-CUSTO TOTAL'!C120</f>
        <v>Santa Luzia</v>
      </c>
      <c r="B98" s="588" t="str">
        <f>'BANCO DADOS-CUSTO TOTAL'!H120</f>
        <v>BELTRANO 12423</v>
      </c>
      <c r="C98" s="588" t="str">
        <f>'BANCO DADOS-CUSTO TOTAL'!I120</f>
        <v>VIGILANTE ARMADO - 12X36 NOTURNO</v>
      </c>
      <c r="D98" s="172"/>
      <c r="E98" s="172"/>
      <c r="F98" s="167">
        <v>42370</v>
      </c>
      <c r="G98" s="167">
        <v>42399</v>
      </c>
      <c r="H98" s="168">
        <f t="shared" si="64"/>
        <v>2229.92</v>
      </c>
      <c r="I98" s="169">
        <f>'BANCO DADOS-CUSTO TOTAL'!Y120</f>
        <v>2717.9</v>
      </c>
      <c r="J98" s="170">
        <f t="shared" si="65"/>
        <v>30</v>
      </c>
      <c r="K98" s="170">
        <f t="shared" si="66"/>
        <v>1</v>
      </c>
      <c r="L98" s="170">
        <f t="shared" si="67"/>
        <v>0</v>
      </c>
      <c r="M98" s="171">
        <f t="shared" si="68"/>
        <v>185.75233600000001</v>
      </c>
      <c r="N98" s="171">
        <f t="shared" si="69"/>
        <v>226.40107</v>
      </c>
      <c r="O98" s="171">
        <f t="shared" si="70"/>
        <v>40.64873399999999</v>
      </c>
      <c r="P98" s="167">
        <f t="shared" si="104"/>
        <v>42370</v>
      </c>
      <c r="Q98" s="167">
        <f t="shared" si="105"/>
        <v>42399</v>
      </c>
      <c r="R98" s="168">
        <f t="shared" si="71"/>
        <v>2229.92</v>
      </c>
      <c r="S98" s="169">
        <f t="shared" si="72"/>
        <v>2717.9</v>
      </c>
      <c r="T98" s="170">
        <f t="shared" si="73"/>
        <v>30</v>
      </c>
      <c r="U98" s="170">
        <f t="shared" si="74"/>
        <v>1</v>
      </c>
      <c r="V98" s="170">
        <f t="shared" si="75"/>
        <v>0</v>
      </c>
      <c r="W98" s="171">
        <f t="shared" si="76"/>
        <v>247.74411200000003</v>
      </c>
      <c r="X98" s="171">
        <f t="shared" si="77"/>
        <v>301.95869000000005</v>
      </c>
      <c r="Y98" s="171">
        <f t="shared" si="78"/>
        <v>54.214578000000017</v>
      </c>
      <c r="Z98" s="167">
        <f t="shared" si="106"/>
        <v>42370</v>
      </c>
      <c r="AA98" s="167">
        <f t="shared" si="107"/>
        <v>42399</v>
      </c>
      <c r="AB98" s="168">
        <f t="shared" si="79"/>
        <v>2229.92</v>
      </c>
      <c r="AC98" s="169">
        <f t="shared" si="80"/>
        <v>2717.9</v>
      </c>
      <c r="AD98" s="170">
        <f t="shared" si="81"/>
        <v>30</v>
      </c>
      <c r="AE98" s="170">
        <f t="shared" si="82"/>
        <v>1</v>
      </c>
      <c r="AF98" s="170">
        <f t="shared" si="83"/>
        <v>0</v>
      </c>
      <c r="AG98" s="171">
        <f t="shared" si="84"/>
        <v>95.886559999999989</v>
      </c>
      <c r="AH98" s="171">
        <f t="shared" si="85"/>
        <v>116.86969999999999</v>
      </c>
      <c r="AI98" s="171">
        <f t="shared" si="86"/>
        <v>20.983140000000006</v>
      </c>
      <c r="AJ98" s="167">
        <f t="shared" si="108"/>
        <v>42370</v>
      </c>
      <c r="AK98" s="167">
        <f t="shared" si="109"/>
        <v>42399</v>
      </c>
      <c r="AL98" s="168">
        <f t="shared" si="87"/>
        <v>2229.92</v>
      </c>
      <c r="AM98" s="169">
        <f t="shared" si="88"/>
        <v>2717.9</v>
      </c>
      <c r="AN98" s="170">
        <f t="shared" si="89"/>
        <v>30</v>
      </c>
      <c r="AO98" s="170">
        <f t="shared" si="90"/>
        <v>1</v>
      </c>
      <c r="AP98" s="170">
        <f t="shared" si="91"/>
        <v>0</v>
      </c>
      <c r="AQ98" s="171">
        <f t="shared" si="92"/>
        <v>68.356859647999997</v>
      </c>
      <c r="AR98" s="171">
        <f t="shared" si="93"/>
        <v>83.315593759999999</v>
      </c>
      <c r="AS98" s="171">
        <f t="shared" si="94"/>
        <v>14.958734112000002</v>
      </c>
      <c r="AT98" s="167">
        <f t="shared" si="110"/>
        <v>42370</v>
      </c>
      <c r="AU98" s="167">
        <f t="shared" si="111"/>
        <v>42399</v>
      </c>
      <c r="AV98" s="168">
        <f t="shared" si="95"/>
        <v>2229.92</v>
      </c>
      <c r="AW98" s="169">
        <f t="shared" si="96"/>
        <v>2717.9</v>
      </c>
      <c r="AX98" s="170">
        <f t="shared" si="97"/>
        <v>30</v>
      </c>
      <c r="AY98" s="170">
        <f t="shared" si="98"/>
        <v>1</v>
      </c>
      <c r="AZ98" s="170">
        <f t="shared" si="99"/>
        <v>0</v>
      </c>
      <c r="BA98" s="171">
        <f t="shared" si="100"/>
        <v>91.169833216000001</v>
      </c>
      <c r="BB98" s="171">
        <f t="shared" si="101"/>
        <v>111.12079792</v>
      </c>
      <c r="BC98" s="171">
        <f t="shared" si="102"/>
        <v>19.950964704</v>
      </c>
      <c r="BD98" s="171">
        <f t="shared" si="103"/>
        <v>150.756150816</v>
      </c>
    </row>
    <row r="99" spans="1:56">
      <c r="A99" s="587" t="str">
        <f>'BANCO DADOS-CUSTO TOTAL'!C122</f>
        <v>São João Del Rei</v>
      </c>
      <c r="B99" s="588" t="str">
        <f>'BANCO DADOS-CUSTO TOTAL'!H122</f>
        <v>BELTRANO 12424</v>
      </c>
      <c r="C99" s="588" t="str">
        <f>'BANCO DADOS-CUSTO TOTAL'!I122</f>
        <v>VIGILANTE ARMADO - 12X36 DIURNO</v>
      </c>
      <c r="D99" s="172"/>
      <c r="E99" s="172"/>
      <c r="F99" s="167">
        <v>42370</v>
      </c>
      <c r="G99" s="167">
        <v>42399</v>
      </c>
      <c r="H99" s="168">
        <f t="shared" si="64"/>
        <v>1869.08</v>
      </c>
      <c r="I99" s="169">
        <f>'BANCO DADOS-CUSTO TOTAL'!Y122</f>
        <v>2277.88</v>
      </c>
      <c r="J99" s="170">
        <f t="shared" si="65"/>
        <v>30</v>
      </c>
      <c r="K99" s="170">
        <f t="shared" si="66"/>
        <v>1</v>
      </c>
      <c r="L99" s="170">
        <f t="shared" si="67"/>
        <v>0</v>
      </c>
      <c r="M99" s="171">
        <f t="shared" si="68"/>
        <v>155.69436399999998</v>
      </c>
      <c r="N99" s="171">
        <f t="shared" si="69"/>
        <v>189.74740400000002</v>
      </c>
      <c r="O99" s="171">
        <f t="shared" si="70"/>
        <v>34.053040000000038</v>
      </c>
      <c r="P99" s="167">
        <f t="shared" si="104"/>
        <v>42370</v>
      </c>
      <c r="Q99" s="167">
        <f t="shared" si="105"/>
        <v>42399</v>
      </c>
      <c r="R99" s="168">
        <f t="shared" si="71"/>
        <v>1869.08</v>
      </c>
      <c r="S99" s="169">
        <f t="shared" si="72"/>
        <v>2277.88</v>
      </c>
      <c r="T99" s="170">
        <f t="shared" si="73"/>
        <v>30</v>
      </c>
      <c r="U99" s="170">
        <f t="shared" si="74"/>
        <v>1</v>
      </c>
      <c r="V99" s="170">
        <f t="shared" si="75"/>
        <v>0</v>
      </c>
      <c r="W99" s="171">
        <f t="shared" si="76"/>
        <v>207.654788</v>
      </c>
      <c r="X99" s="171">
        <f t="shared" si="77"/>
        <v>253.07246800000001</v>
      </c>
      <c r="Y99" s="171">
        <f t="shared" si="78"/>
        <v>45.417680000000018</v>
      </c>
      <c r="Z99" s="167">
        <f t="shared" si="106"/>
        <v>42370</v>
      </c>
      <c r="AA99" s="167">
        <f t="shared" si="107"/>
        <v>42399</v>
      </c>
      <c r="AB99" s="168">
        <f t="shared" si="79"/>
        <v>1869.08</v>
      </c>
      <c r="AC99" s="169">
        <f t="shared" si="80"/>
        <v>2277.88</v>
      </c>
      <c r="AD99" s="170">
        <f t="shared" si="81"/>
        <v>30</v>
      </c>
      <c r="AE99" s="170">
        <f t="shared" si="82"/>
        <v>1</v>
      </c>
      <c r="AF99" s="170">
        <f t="shared" si="83"/>
        <v>0</v>
      </c>
      <c r="AG99" s="171">
        <f t="shared" si="84"/>
        <v>80.370439999999988</v>
      </c>
      <c r="AH99" s="171">
        <f t="shared" si="85"/>
        <v>97.94883999999999</v>
      </c>
      <c r="AI99" s="171">
        <f t="shared" si="86"/>
        <v>17.578400000000002</v>
      </c>
      <c r="AJ99" s="167">
        <f t="shared" si="108"/>
        <v>42370</v>
      </c>
      <c r="AK99" s="167">
        <f t="shared" si="109"/>
        <v>42399</v>
      </c>
      <c r="AL99" s="168">
        <f t="shared" si="87"/>
        <v>1869.08</v>
      </c>
      <c r="AM99" s="169">
        <f t="shared" si="88"/>
        <v>2277.88</v>
      </c>
      <c r="AN99" s="170">
        <f t="shared" si="89"/>
        <v>30</v>
      </c>
      <c r="AO99" s="170">
        <f t="shared" si="90"/>
        <v>1</v>
      </c>
      <c r="AP99" s="170">
        <f t="shared" si="91"/>
        <v>0</v>
      </c>
      <c r="AQ99" s="171">
        <f t="shared" si="92"/>
        <v>57.295525951999991</v>
      </c>
      <c r="AR99" s="171">
        <f t="shared" si="93"/>
        <v>69.827044672</v>
      </c>
      <c r="AS99" s="171">
        <f t="shared" si="94"/>
        <v>12.531518720000008</v>
      </c>
      <c r="AT99" s="167">
        <f t="shared" si="110"/>
        <v>42370</v>
      </c>
      <c r="AU99" s="167">
        <f t="shared" si="111"/>
        <v>42399</v>
      </c>
      <c r="AV99" s="168">
        <f t="shared" si="95"/>
        <v>1869.08</v>
      </c>
      <c r="AW99" s="169">
        <f t="shared" si="96"/>
        <v>2277.88</v>
      </c>
      <c r="AX99" s="170">
        <f t="shared" si="97"/>
        <v>30</v>
      </c>
      <c r="AY99" s="170">
        <f t="shared" si="98"/>
        <v>1</v>
      </c>
      <c r="AZ99" s="170">
        <f t="shared" si="99"/>
        <v>0</v>
      </c>
      <c r="BA99" s="171">
        <f t="shared" si="100"/>
        <v>76.416961983999997</v>
      </c>
      <c r="BB99" s="171">
        <f t="shared" si="101"/>
        <v>93.130668224000004</v>
      </c>
      <c r="BC99" s="171">
        <f t="shared" si="102"/>
        <v>16.713706240000008</v>
      </c>
      <c r="BD99" s="171">
        <f t="shared" si="103"/>
        <v>126.29434496000007</v>
      </c>
    </row>
    <row r="100" spans="1:56">
      <c r="A100" s="587" t="str">
        <f>'BANCO DADOS-CUSTO TOTAL'!C123</f>
        <v>São João Del Rei</v>
      </c>
      <c r="B100" s="588" t="str">
        <f>'BANCO DADOS-CUSTO TOTAL'!H123</f>
        <v>BELTRANO 12425</v>
      </c>
      <c r="C100" s="588" t="str">
        <f>'BANCO DADOS-CUSTO TOTAL'!I123</f>
        <v>VIGILANTE ARMADO - 12X36 DIURNO</v>
      </c>
      <c r="D100" s="172"/>
      <c r="E100" s="172"/>
      <c r="F100" s="167">
        <v>42370</v>
      </c>
      <c r="G100" s="167">
        <v>42399</v>
      </c>
      <c r="H100" s="168">
        <f t="shared" si="64"/>
        <v>1869.08</v>
      </c>
      <c r="I100" s="169">
        <f>'BANCO DADOS-CUSTO TOTAL'!Y123</f>
        <v>2277.88</v>
      </c>
      <c r="J100" s="170">
        <f t="shared" si="65"/>
        <v>30</v>
      </c>
      <c r="K100" s="170">
        <f t="shared" si="66"/>
        <v>1</v>
      </c>
      <c r="L100" s="170">
        <f t="shared" si="67"/>
        <v>0</v>
      </c>
      <c r="M100" s="171">
        <f t="shared" si="68"/>
        <v>155.69436399999998</v>
      </c>
      <c r="N100" s="171">
        <f t="shared" si="69"/>
        <v>189.74740400000002</v>
      </c>
      <c r="O100" s="171">
        <f t="shared" si="70"/>
        <v>34.053040000000038</v>
      </c>
      <c r="P100" s="167">
        <f t="shared" si="104"/>
        <v>42370</v>
      </c>
      <c r="Q100" s="167">
        <f t="shared" si="105"/>
        <v>42399</v>
      </c>
      <c r="R100" s="168">
        <f t="shared" si="71"/>
        <v>1869.08</v>
      </c>
      <c r="S100" s="169">
        <f t="shared" si="72"/>
        <v>2277.88</v>
      </c>
      <c r="T100" s="170">
        <f t="shared" si="73"/>
        <v>30</v>
      </c>
      <c r="U100" s="170">
        <f t="shared" si="74"/>
        <v>1</v>
      </c>
      <c r="V100" s="170">
        <f t="shared" si="75"/>
        <v>0</v>
      </c>
      <c r="W100" s="171">
        <f t="shared" si="76"/>
        <v>207.654788</v>
      </c>
      <c r="X100" s="171">
        <f t="shared" si="77"/>
        <v>253.07246800000001</v>
      </c>
      <c r="Y100" s="171">
        <f t="shared" si="78"/>
        <v>45.417680000000018</v>
      </c>
      <c r="Z100" s="167">
        <f t="shared" si="106"/>
        <v>42370</v>
      </c>
      <c r="AA100" s="167">
        <f t="shared" si="107"/>
        <v>42399</v>
      </c>
      <c r="AB100" s="168">
        <f t="shared" si="79"/>
        <v>1869.08</v>
      </c>
      <c r="AC100" s="169">
        <f t="shared" si="80"/>
        <v>2277.88</v>
      </c>
      <c r="AD100" s="170">
        <f t="shared" si="81"/>
        <v>30</v>
      </c>
      <c r="AE100" s="170">
        <f t="shared" si="82"/>
        <v>1</v>
      </c>
      <c r="AF100" s="170">
        <f t="shared" si="83"/>
        <v>0</v>
      </c>
      <c r="AG100" s="171">
        <f t="shared" si="84"/>
        <v>80.370439999999988</v>
      </c>
      <c r="AH100" s="171">
        <f t="shared" si="85"/>
        <v>97.94883999999999</v>
      </c>
      <c r="AI100" s="171">
        <f t="shared" si="86"/>
        <v>17.578400000000002</v>
      </c>
      <c r="AJ100" s="167">
        <f t="shared" si="108"/>
        <v>42370</v>
      </c>
      <c r="AK100" s="167">
        <f t="shared" si="109"/>
        <v>42399</v>
      </c>
      <c r="AL100" s="168">
        <f t="shared" si="87"/>
        <v>1869.08</v>
      </c>
      <c r="AM100" s="169">
        <f t="shared" si="88"/>
        <v>2277.88</v>
      </c>
      <c r="AN100" s="170">
        <f t="shared" si="89"/>
        <v>30</v>
      </c>
      <c r="AO100" s="170">
        <f t="shared" si="90"/>
        <v>1</v>
      </c>
      <c r="AP100" s="170">
        <f t="shared" si="91"/>
        <v>0</v>
      </c>
      <c r="AQ100" s="171">
        <f t="shared" si="92"/>
        <v>57.295525951999991</v>
      </c>
      <c r="AR100" s="171">
        <f t="shared" si="93"/>
        <v>69.827044672</v>
      </c>
      <c r="AS100" s="171">
        <f t="shared" si="94"/>
        <v>12.531518720000008</v>
      </c>
      <c r="AT100" s="167">
        <f t="shared" si="110"/>
        <v>42370</v>
      </c>
      <c r="AU100" s="167">
        <f t="shared" si="111"/>
        <v>42399</v>
      </c>
      <c r="AV100" s="168">
        <f t="shared" si="95"/>
        <v>1869.08</v>
      </c>
      <c r="AW100" s="169">
        <f t="shared" si="96"/>
        <v>2277.88</v>
      </c>
      <c r="AX100" s="170">
        <f t="shared" si="97"/>
        <v>30</v>
      </c>
      <c r="AY100" s="170">
        <f t="shared" si="98"/>
        <v>1</v>
      </c>
      <c r="AZ100" s="170">
        <f t="shared" si="99"/>
        <v>0</v>
      </c>
      <c r="BA100" s="171">
        <f t="shared" si="100"/>
        <v>76.416961983999997</v>
      </c>
      <c r="BB100" s="171">
        <f t="shared" si="101"/>
        <v>93.130668224000004</v>
      </c>
      <c r="BC100" s="171">
        <f t="shared" si="102"/>
        <v>16.713706240000008</v>
      </c>
      <c r="BD100" s="171">
        <f t="shared" si="103"/>
        <v>126.29434496000007</v>
      </c>
    </row>
    <row r="101" spans="1:56">
      <c r="A101" s="587" t="str">
        <f>'BANCO DADOS-CUSTO TOTAL'!C125</f>
        <v>São Lourenço</v>
      </c>
      <c r="B101" s="588" t="str">
        <f>'BANCO DADOS-CUSTO TOTAL'!H125</f>
        <v>BELTRANO 12426</v>
      </c>
      <c r="C101" s="588" t="str">
        <f>'BANCO DADOS-CUSTO TOTAL'!I125</f>
        <v>VIGILANTE ARMADO - 12X36 DIURNO</v>
      </c>
      <c r="D101" s="172"/>
      <c r="E101" s="172"/>
      <c r="F101" s="167">
        <v>42370</v>
      </c>
      <c r="G101" s="167">
        <v>42399</v>
      </c>
      <c r="H101" s="168">
        <f t="shared" si="64"/>
        <v>1869.08</v>
      </c>
      <c r="I101" s="169">
        <f>'BANCO DADOS-CUSTO TOTAL'!Y125</f>
        <v>2277.88</v>
      </c>
      <c r="J101" s="170">
        <f t="shared" si="65"/>
        <v>30</v>
      </c>
      <c r="K101" s="170">
        <f t="shared" si="66"/>
        <v>1</v>
      </c>
      <c r="L101" s="170">
        <f t="shared" si="67"/>
        <v>0</v>
      </c>
      <c r="M101" s="171">
        <f t="shared" si="68"/>
        <v>155.69436399999998</v>
      </c>
      <c r="N101" s="171">
        <f t="shared" si="69"/>
        <v>189.74740400000002</v>
      </c>
      <c r="O101" s="171">
        <f t="shared" si="70"/>
        <v>34.053040000000038</v>
      </c>
      <c r="P101" s="167">
        <f t="shared" si="104"/>
        <v>42370</v>
      </c>
      <c r="Q101" s="167">
        <f t="shared" si="105"/>
        <v>42399</v>
      </c>
      <c r="R101" s="168">
        <f t="shared" si="71"/>
        <v>1869.08</v>
      </c>
      <c r="S101" s="169">
        <f t="shared" si="72"/>
        <v>2277.88</v>
      </c>
      <c r="T101" s="170">
        <f t="shared" si="73"/>
        <v>30</v>
      </c>
      <c r="U101" s="170">
        <f t="shared" si="74"/>
        <v>1</v>
      </c>
      <c r="V101" s="170">
        <f t="shared" si="75"/>
        <v>0</v>
      </c>
      <c r="W101" s="171">
        <f t="shared" si="76"/>
        <v>207.654788</v>
      </c>
      <c r="X101" s="171">
        <f t="shared" si="77"/>
        <v>253.07246800000001</v>
      </c>
      <c r="Y101" s="171">
        <f t="shared" si="78"/>
        <v>45.417680000000018</v>
      </c>
      <c r="Z101" s="167">
        <f t="shared" si="106"/>
        <v>42370</v>
      </c>
      <c r="AA101" s="167">
        <f t="shared" si="107"/>
        <v>42399</v>
      </c>
      <c r="AB101" s="168">
        <f t="shared" si="79"/>
        <v>1869.08</v>
      </c>
      <c r="AC101" s="169">
        <f t="shared" si="80"/>
        <v>2277.88</v>
      </c>
      <c r="AD101" s="170">
        <f t="shared" si="81"/>
        <v>30</v>
      </c>
      <c r="AE101" s="170">
        <f t="shared" si="82"/>
        <v>1</v>
      </c>
      <c r="AF101" s="170">
        <f t="shared" si="83"/>
        <v>0</v>
      </c>
      <c r="AG101" s="171">
        <f t="shared" si="84"/>
        <v>80.370439999999988</v>
      </c>
      <c r="AH101" s="171">
        <f t="shared" si="85"/>
        <v>97.94883999999999</v>
      </c>
      <c r="AI101" s="171">
        <f t="shared" si="86"/>
        <v>17.578400000000002</v>
      </c>
      <c r="AJ101" s="167">
        <f t="shared" si="108"/>
        <v>42370</v>
      </c>
      <c r="AK101" s="167">
        <f t="shared" si="109"/>
        <v>42399</v>
      </c>
      <c r="AL101" s="168">
        <f t="shared" si="87"/>
        <v>1869.08</v>
      </c>
      <c r="AM101" s="169">
        <f t="shared" si="88"/>
        <v>2277.88</v>
      </c>
      <c r="AN101" s="170">
        <f t="shared" si="89"/>
        <v>30</v>
      </c>
      <c r="AO101" s="170">
        <f t="shared" si="90"/>
        <v>1</v>
      </c>
      <c r="AP101" s="170">
        <f t="shared" si="91"/>
        <v>0</v>
      </c>
      <c r="AQ101" s="171">
        <f t="shared" si="92"/>
        <v>57.295525951999991</v>
      </c>
      <c r="AR101" s="171">
        <f t="shared" si="93"/>
        <v>69.827044672</v>
      </c>
      <c r="AS101" s="171">
        <f t="shared" si="94"/>
        <v>12.531518720000008</v>
      </c>
      <c r="AT101" s="167">
        <f t="shared" si="110"/>
        <v>42370</v>
      </c>
      <c r="AU101" s="167">
        <f t="shared" si="111"/>
        <v>42399</v>
      </c>
      <c r="AV101" s="168">
        <f t="shared" si="95"/>
        <v>1869.08</v>
      </c>
      <c r="AW101" s="169">
        <f t="shared" si="96"/>
        <v>2277.88</v>
      </c>
      <c r="AX101" s="170">
        <f t="shared" si="97"/>
        <v>30</v>
      </c>
      <c r="AY101" s="170">
        <f t="shared" si="98"/>
        <v>1</v>
      </c>
      <c r="AZ101" s="170">
        <f t="shared" si="99"/>
        <v>0</v>
      </c>
      <c r="BA101" s="171">
        <f t="shared" si="100"/>
        <v>76.416961983999997</v>
      </c>
      <c r="BB101" s="171">
        <f t="shared" si="101"/>
        <v>93.130668224000004</v>
      </c>
      <c r="BC101" s="171">
        <f t="shared" si="102"/>
        <v>16.713706240000008</v>
      </c>
      <c r="BD101" s="171">
        <f t="shared" si="103"/>
        <v>126.29434496000007</v>
      </c>
    </row>
    <row r="102" spans="1:56">
      <c r="A102" s="587" t="str">
        <f>'BANCO DADOS-CUSTO TOTAL'!C126</f>
        <v>São Lourenço</v>
      </c>
      <c r="B102" s="588" t="str">
        <f>'BANCO DADOS-CUSTO TOTAL'!H126</f>
        <v>BELTRANO 12427</v>
      </c>
      <c r="C102" s="588" t="str">
        <f>'BANCO DADOS-CUSTO TOTAL'!I126</f>
        <v>VIGILANTE ARMADO - 12X36 DIURNO</v>
      </c>
      <c r="D102" s="172"/>
      <c r="E102" s="172"/>
      <c r="F102" s="167">
        <v>42370</v>
      </c>
      <c r="G102" s="167">
        <v>42399</v>
      </c>
      <c r="H102" s="168">
        <f t="shared" si="64"/>
        <v>1869.08</v>
      </c>
      <c r="I102" s="169">
        <f>'BANCO DADOS-CUSTO TOTAL'!Y126</f>
        <v>2277.88</v>
      </c>
      <c r="J102" s="170">
        <f t="shared" si="65"/>
        <v>30</v>
      </c>
      <c r="K102" s="170">
        <f t="shared" si="66"/>
        <v>1</v>
      </c>
      <c r="L102" s="170">
        <f t="shared" si="67"/>
        <v>0</v>
      </c>
      <c r="M102" s="171">
        <f t="shared" si="68"/>
        <v>155.69436399999998</v>
      </c>
      <c r="N102" s="171">
        <f t="shared" si="69"/>
        <v>189.74740400000002</v>
      </c>
      <c r="O102" s="171">
        <f t="shared" si="70"/>
        <v>34.053040000000038</v>
      </c>
      <c r="P102" s="167">
        <f t="shared" si="104"/>
        <v>42370</v>
      </c>
      <c r="Q102" s="167">
        <f t="shared" si="105"/>
        <v>42399</v>
      </c>
      <c r="R102" s="168">
        <f t="shared" si="71"/>
        <v>1869.08</v>
      </c>
      <c r="S102" s="169">
        <f t="shared" si="72"/>
        <v>2277.88</v>
      </c>
      <c r="T102" s="170">
        <f t="shared" si="73"/>
        <v>30</v>
      </c>
      <c r="U102" s="170">
        <f t="shared" si="74"/>
        <v>1</v>
      </c>
      <c r="V102" s="170">
        <f t="shared" si="75"/>
        <v>0</v>
      </c>
      <c r="W102" s="171">
        <f t="shared" si="76"/>
        <v>207.654788</v>
      </c>
      <c r="X102" s="171">
        <f t="shared" si="77"/>
        <v>253.07246800000001</v>
      </c>
      <c r="Y102" s="171">
        <f t="shared" si="78"/>
        <v>45.417680000000018</v>
      </c>
      <c r="Z102" s="167">
        <f t="shared" si="106"/>
        <v>42370</v>
      </c>
      <c r="AA102" s="167">
        <f t="shared" si="107"/>
        <v>42399</v>
      </c>
      <c r="AB102" s="168">
        <f t="shared" si="79"/>
        <v>1869.08</v>
      </c>
      <c r="AC102" s="169">
        <f t="shared" si="80"/>
        <v>2277.88</v>
      </c>
      <c r="AD102" s="170">
        <f t="shared" si="81"/>
        <v>30</v>
      </c>
      <c r="AE102" s="170">
        <f t="shared" si="82"/>
        <v>1</v>
      </c>
      <c r="AF102" s="170">
        <f t="shared" si="83"/>
        <v>0</v>
      </c>
      <c r="AG102" s="171">
        <f t="shared" si="84"/>
        <v>80.370439999999988</v>
      </c>
      <c r="AH102" s="171">
        <f t="shared" si="85"/>
        <v>97.94883999999999</v>
      </c>
      <c r="AI102" s="171">
        <f t="shared" si="86"/>
        <v>17.578400000000002</v>
      </c>
      <c r="AJ102" s="167">
        <f t="shared" si="108"/>
        <v>42370</v>
      </c>
      <c r="AK102" s="167">
        <f t="shared" si="109"/>
        <v>42399</v>
      </c>
      <c r="AL102" s="168">
        <f t="shared" si="87"/>
        <v>1869.08</v>
      </c>
      <c r="AM102" s="169">
        <f t="shared" si="88"/>
        <v>2277.88</v>
      </c>
      <c r="AN102" s="170">
        <f t="shared" si="89"/>
        <v>30</v>
      </c>
      <c r="AO102" s="170">
        <f t="shared" si="90"/>
        <v>1</v>
      </c>
      <c r="AP102" s="170">
        <f t="shared" si="91"/>
        <v>0</v>
      </c>
      <c r="AQ102" s="171">
        <f t="shared" si="92"/>
        <v>57.295525951999991</v>
      </c>
      <c r="AR102" s="171">
        <f t="shared" si="93"/>
        <v>69.827044672</v>
      </c>
      <c r="AS102" s="171">
        <f t="shared" si="94"/>
        <v>12.531518720000008</v>
      </c>
      <c r="AT102" s="167">
        <f t="shared" si="110"/>
        <v>42370</v>
      </c>
      <c r="AU102" s="167">
        <f t="shared" si="111"/>
        <v>42399</v>
      </c>
      <c r="AV102" s="168">
        <f t="shared" si="95"/>
        <v>1869.08</v>
      </c>
      <c r="AW102" s="169">
        <f t="shared" si="96"/>
        <v>2277.88</v>
      </c>
      <c r="AX102" s="170">
        <f t="shared" si="97"/>
        <v>30</v>
      </c>
      <c r="AY102" s="170">
        <f t="shared" si="98"/>
        <v>1</v>
      </c>
      <c r="AZ102" s="170">
        <f t="shared" si="99"/>
        <v>0</v>
      </c>
      <c r="BA102" s="171">
        <f t="shared" si="100"/>
        <v>76.416961983999997</v>
      </c>
      <c r="BB102" s="171">
        <f t="shared" si="101"/>
        <v>93.130668224000004</v>
      </c>
      <c r="BC102" s="171">
        <f t="shared" si="102"/>
        <v>16.713706240000008</v>
      </c>
      <c r="BD102" s="171">
        <f t="shared" si="103"/>
        <v>126.29434496000007</v>
      </c>
    </row>
    <row r="103" spans="1:56">
      <c r="A103" s="587" t="str">
        <f>'BANCO DADOS-CUSTO TOTAL'!C128</f>
        <v>São Sebastião do Paraíso</v>
      </c>
      <c r="B103" s="588" t="str">
        <f>'BANCO DADOS-CUSTO TOTAL'!H128</f>
        <v>BELTRANO 12428</v>
      </c>
      <c r="C103" s="588" t="str">
        <f>'BANCO DADOS-CUSTO TOTAL'!I128</f>
        <v>VIGILANTE ARMADO - 12X36 DIURNO</v>
      </c>
      <c r="D103" s="172"/>
      <c r="E103" s="172"/>
      <c r="F103" s="167">
        <v>42370</v>
      </c>
      <c r="G103" s="167">
        <v>42399</v>
      </c>
      <c r="H103" s="168">
        <f t="shared" si="64"/>
        <v>1869.08</v>
      </c>
      <c r="I103" s="169">
        <f>'BANCO DADOS-CUSTO TOTAL'!Y128</f>
        <v>2277.88</v>
      </c>
      <c r="J103" s="170">
        <f t="shared" si="65"/>
        <v>30</v>
      </c>
      <c r="K103" s="170">
        <f t="shared" si="66"/>
        <v>1</v>
      </c>
      <c r="L103" s="170">
        <f t="shared" si="67"/>
        <v>0</v>
      </c>
      <c r="M103" s="171">
        <f t="shared" si="68"/>
        <v>155.69436399999998</v>
      </c>
      <c r="N103" s="171">
        <f t="shared" si="69"/>
        <v>189.74740400000002</v>
      </c>
      <c r="O103" s="171">
        <f t="shared" si="70"/>
        <v>34.053040000000038</v>
      </c>
      <c r="P103" s="167">
        <f t="shared" si="104"/>
        <v>42370</v>
      </c>
      <c r="Q103" s="167">
        <f t="shared" si="105"/>
        <v>42399</v>
      </c>
      <c r="R103" s="168">
        <f t="shared" si="71"/>
        <v>1869.08</v>
      </c>
      <c r="S103" s="169">
        <f t="shared" si="72"/>
        <v>2277.88</v>
      </c>
      <c r="T103" s="170">
        <f t="shared" si="73"/>
        <v>30</v>
      </c>
      <c r="U103" s="170">
        <f t="shared" si="74"/>
        <v>1</v>
      </c>
      <c r="V103" s="170">
        <f t="shared" si="75"/>
        <v>0</v>
      </c>
      <c r="W103" s="171">
        <f t="shared" si="76"/>
        <v>207.654788</v>
      </c>
      <c r="X103" s="171">
        <f t="shared" si="77"/>
        <v>253.07246800000001</v>
      </c>
      <c r="Y103" s="171">
        <f t="shared" si="78"/>
        <v>45.417680000000018</v>
      </c>
      <c r="Z103" s="167">
        <f t="shared" si="106"/>
        <v>42370</v>
      </c>
      <c r="AA103" s="167">
        <f t="shared" si="107"/>
        <v>42399</v>
      </c>
      <c r="AB103" s="168">
        <f t="shared" si="79"/>
        <v>1869.08</v>
      </c>
      <c r="AC103" s="169">
        <f t="shared" si="80"/>
        <v>2277.88</v>
      </c>
      <c r="AD103" s="170">
        <f t="shared" si="81"/>
        <v>30</v>
      </c>
      <c r="AE103" s="170">
        <f t="shared" si="82"/>
        <v>1</v>
      </c>
      <c r="AF103" s="170">
        <f t="shared" si="83"/>
        <v>0</v>
      </c>
      <c r="AG103" s="171">
        <f t="shared" si="84"/>
        <v>80.370439999999988</v>
      </c>
      <c r="AH103" s="171">
        <f t="shared" si="85"/>
        <v>97.94883999999999</v>
      </c>
      <c r="AI103" s="171">
        <f t="shared" si="86"/>
        <v>17.578400000000002</v>
      </c>
      <c r="AJ103" s="167">
        <f t="shared" si="108"/>
        <v>42370</v>
      </c>
      <c r="AK103" s="167">
        <f t="shared" si="109"/>
        <v>42399</v>
      </c>
      <c r="AL103" s="168">
        <f t="shared" si="87"/>
        <v>1869.08</v>
      </c>
      <c r="AM103" s="169">
        <f t="shared" si="88"/>
        <v>2277.88</v>
      </c>
      <c r="AN103" s="170">
        <f t="shared" si="89"/>
        <v>30</v>
      </c>
      <c r="AO103" s="170">
        <f t="shared" si="90"/>
        <v>1</v>
      </c>
      <c r="AP103" s="170">
        <f t="shared" si="91"/>
        <v>0</v>
      </c>
      <c r="AQ103" s="171">
        <f t="shared" si="92"/>
        <v>57.295525951999991</v>
      </c>
      <c r="AR103" s="171">
        <f t="shared" si="93"/>
        <v>69.827044672</v>
      </c>
      <c r="AS103" s="171">
        <f t="shared" si="94"/>
        <v>12.531518720000008</v>
      </c>
      <c r="AT103" s="167">
        <f t="shared" si="110"/>
        <v>42370</v>
      </c>
      <c r="AU103" s="167">
        <f t="shared" si="111"/>
        <v>42399</v>
      </c>
      <c r="AV103" s="168">
        <f t="shared" si="95"/>
        <v>1869.08</v>
      </c>
      <c r="AW103" s="169">
        <f t="shared" si="96"/>
        <v>2277.88</v>
      </c>
      <c r="AX103" s="170">
        <f t="shared" si="97"/>
        <v>30</v>
      </c>
      <c r="AY103" s="170">
        <f t="shared" si="98"/>
        <v>1</v>
      </c>
      <c r="AZ103" s="170">
        <f t="shared" si="99"/>
        <v>0</v>
      </c>
      <c r="BA103" s="171">
        <f t="shared" si="100"/>
        <v>76.416961983999997</v>
      </c>
      <c r="BB103" s="171">
        <f t="shared" si="101"/>
        <v>93.130668224000004</v>
      </c>
      <c r="BC103" s="171">
        <f t="shared" si="102"/>
        <v>16.713706240000008</v>
      </c>
      <c r="BD103" s="171">
        <f t="shared" si="103"/>
        <v>126.29434496000007</v>
      </c>
    </row>
    <row r="104" spans="1:56">
      <c r="A104" s="587" t="str">
        <f>'BANCO DADOS-CUSTO TOTAL'!C129</f>
        <v>São Sebastião do Paraíso</v>
      </c>
      <c r="B104" s="588" t="str">
        <f>'BANCO DADOS-CUSTO TOTAL'!H129</f>
        <v>BELTRANO 124205.</v>
      </c>
      <c r="C104" s="588" t="str">
        <f>'BANCO DADOS-CUSTO TOTAL'!I129</f>
        <v>VIGILANTE ARMADO - 12X36 DIURNO</v>
      </c>
      <c r="D104" s="172"/>
      <c r="E104" s="172"/>
      <c r="F104" s="167"/>
      <c r="G104" s="167"/>
      <c r="H104" s="168"/>
      <c r="I104" s="169"/>
      <c r="J104" s="170">
        <f t="shared" si="65"/>
        <v>0</v>
      </c>
      <c r="K104" s="170">
        <f t="shared" si="66"/>
        <v>0</v>
      </c>
      <c r="L104" s="170">
        <f t="shared" si="67"/>
        <v>0</v>
      </c>
      <c r="M104" s="171">
        <f t="shared" si="68"/>
        <v>0</v>
      </c>
      <c r="N104" s="171">
        <f t="shared" si="69"/>
        <v>0</v>
      </c>
      <c r="O104" s="171">
        <f t="shared" si="70"/>
        <v>0</v>
      </c>
      <c r="P104" s="167">
        <f t="shared" si="104"/>
        <v>0</v>
      </c>
      <c r="Q104" s="167">
        <f t="shared" si="105"/>
        <v>0</v>
      </c>
      <c r="R104" s="168">
        <f t="shared" si="71"/>
        <v>0</v>
      </c>
      <c r="S104" s="169">
        <f t="shared" si="72"/>
        <v>0</v>
      </c>
      <c r="T104" s="170">
        <f t="shared" si="73"/>
        <v>1</v>
      </c>
      <c r="U104" s="170">
        <f t="shared" si="74"/>
        <v>0</v>
      </c>
      <c r="V104" s="170">
        <f t="shared" si="75"/>
        <v>1</v>
      </c>
      <c r="W104" s="171">
        <f t="shared" si="76"/>
        <v>0</v>
      </c>
      <c r="X104" s="171">
        <f t="shared" si="77"/>
        <v>0</v>
      </c>
      <c r="Y104" s="171">
        <f t="shared" si="78"/>
        <v>0</v>
      </c>
      <c r="Z104" s="167">
        <f t="shared" si="106"/>
        <v>0</v>
      </c>
      <c r="AA104" s="167">
        <f t="shared" si="107"/>
        <v>0</v>
      </c>
      <c r="AB104" s="168">
        <f t="shared" si="79"/>
        <v>0</v>
      </c>
      <c r="AC104" s="169">
        <f t="shared" si="80"/>
        <v>0</v>
      </c>
      <c r="AD104" s="170">
        <f t="shared" si="81"/>
        <v>1</v>
      </c>
      <c r="AE104" s="170">
        <f t="shared" si="82"/>
        <v>0</v>
      </c>
      <c r="AF104" s="170">
        <f t="shared" si="83"/>
        <v>1</v>
      </c>
      <c r="AG104" s="171">
        <f t="shared" si="84"/>
        <v>0</v>
      </c>
      <c r="AH104" s="171">
        <f t="shared" si="85"/>
        <v>0</v>
      </c>
      <c r="AI104" s="171">
        <f t="shared" si="86"/>
        <v>0</v>
      </c>
      <c r="AJ104" s="167">
        <f t="shared" si="108"/>
        <v>0</v>
      </c>
      <c r="AK104" s="167">
        <f t="shared" si="109"/>
        <v>0</v>
      </c>
      <c r="AL104" s="168">
        <f t="shared" si="87"/>
        <v>0</v>
      </c>
      <c r="AM104" s="169">
        <f t="shared" si="88"/>
        <v>0</v>
      </c>
      <c r="AN104" s="170">
        <f t="shared" si="89"/>
        <v>1</v>
      </c>
      <c r="AO104" s="170">
        <f t="shared" si="90"/>
        <v>0</v>
      </c>
      <c r="AP104" s="170">
        <f t="shared" si="91"/>
        <v>1</v>
      </c>
      <c r="AQ104" s="171">
        <f t="shared" si="92"/>
        <v>0</v>
      </c>
      <c r="AR104" s="171">
        <f t="shared" si="93"/>
        <v>0</v>
      </c>
      <c r="AS104" s="171">
        <f t="shared" si="94"/>
        <v>0</v>
      </c>
      <c r="AT104" s="167">
        <f t="shared" si="110"/>
        <v>0</v>
      </c>
      <c r="AU104" s="167">
        <f t="shared" si="111"/>
        <v>0</v>
      </c>
      <c r="AV104" s="168">
        <f t="shared" si="95"/>
        <v>0</v>
      </c>
      <c r="AW104" s="169">
        <f t="shared" si="96"/>
        <v>0</v>
      </c>
      <c r="AX104" s="170">
        <f t="shared" si="97"/>
        <v>1</v>
      </c>
      <c r="AY104" s="170">
        <f t="shared" si="98"/>
        <v>0</v>
      </c>
      <c r="AZ104" s="170">
        <f t="shared" si="99"/>
        <v>1</v>
      </c>
      <c r="BA104" s="171">
        <f t="shared" si="100"/>
        <v>0</v>
      </c>
      <c r="BB104" s="171">
        <f t="shared" si="101"/>
        <v>0</v>
      </c>
      <c r="BC104" s="171">
        <f t="shared" si="102"/>
        <v>0</v>
      </c>
      <c r="BD104" s="171">
        <f t="shared" si="103"/>
        <v>0</v>
      </c>
    </row>
    <row r="105" spans="1:56">
      <c r="A105" s="587" t="str">
        <f>'BANCO DADOS-CUSTO TOTAL'!C130</f>
        <v>São Sebastião do Paraíso</v>
      </c>
      <c r="B105" s="588" t="str">
        <f>'BANCO DADOS-CUSTO TOTAL'!H130</f>
        <v>BELTRANO 12429</v>
      </c>
      <c r="C105" s="588" t="str">
        <f>'BANCO DADOS-CUSTO TOTAL'!I130</f>
        <v>VIGILANTE ARMADO - 12X36 DIURNO</v>
      </c>
      <c r="D105" s="172"/>
      <c r="E105" s="172"/>
      <c r="F105" s="167">
        <v>42370</v>
      </c>
      <c r="G105" s="167">
        <v>42399</v>
      </c>
      <c r="H105" s="168">
        <f t="shared" si="64"/>
        <v>1869.08</v>
      </c>
      <c r="I105" s="169">
        <f>'BANCO DADOS-CUSTO TOTAL'!Y130</f>
        <v>2277.88</v>
      </c>
      <c r="J105" s="170">
        <f t="shared" si="65"/>
        <v>30</v>
      </c>
      <c r="K105" s="170">
        <f t="shared" si="66"/>
        <v>1</v>
      </c>
      <c r="L105" s="170">
        <f t="shared" si="67"/>
        <v>0</v>
      </c>
      <c r="M105" s="171">
        <f t="shared" si="68"/>
        <v>155.69436399999998</v>
      </c>
      <c r="N105" s="171">
        <f t="shared" si="69"/>
        <v>189.74740400000002</v>
      </c>
      <c r="O105" s="171">
        <f t="shared" si="70"/>
        <v>34.053040000000038</v>
      </c>
      <c r="P105" s="167">
        <f t="shared" si="104"/>
        <v>42370</v>
      </c>
      <c r="Q105" s="167">
        <f t="shared" si="105"/>
        <v>42399</v>
      </c>
      <c r="R105" s="168">
        <f t="shared" si="71"/>
        <v>1869.08</v>
      </c>
      <c r="S105" s="169">
        <f t="shared" si="72"/>
        <v>2277.88</v>
      </c>
      <c r="T105" s="170">
        <f t="shared" si="73"/>
        <v>30</v>
      </c>
      <c r="U105" s="170">
        <f t="shared" si="74"/>
        <v>1</v>
      </c>
      <c r="V105" s="170">
        <f t="shared" si="75"/>
        <v>0</v>
      </c>
      <c r="W105" s="171">
        <f t="shared" si="76"/>
        <v>207.654788</v>
      </c>
      <c r="X105" s="171">
        <f t="shared" si="77"/>
        <v>253.07246800000001</v>
      </c>
      <c r="Y105" s="171">
        <f t="shared" si="78"/>
        <v>45.417680000000018</v>
      </c>
      <c r="Z105" s="167">
        <f t="shared" si="106"/>
        <v>42370</v>
      </c>
      <c r="AA105" s="167">
        <f t="shared" si="107"/>
        <v>42399</v>
      </c>
      <c r="AB105" s="168">
        <f t="shared" si="79"/>
        <v>1869.08</v>
      </c>
      <c r="AC105" s="169">
        <f t="shared" si="80"/>
        <v>2277.88</v>
      </c>
      <c r="AD105" s="170">
        <f t="shared" si="81"/>
        <v>30</v>
      </c>
      <c r="AE105" s="170">
        <f t="shared" si="82"/>
        <v>1</v>
      </c>
      <c r="AF105" s="170">
        <f t="shared" si="83"/>
        <v>0</v>
      </c>
      <c r="AG105" s="171">
        <f t="shared" si="84"/>
        <v>80.370439999999988</v>
      </c>
      <c r="AH105" s="171">
        <f t="shared" si="85"/>
        <v>97.94883999999999</v>
      </c>
      <c r="AI105" s="171">
        <f t="shared" si="86"/>
        <v>17.578400000000002</v>
      </c>
      <c r="AJ105" s="167">
        <f t="shared" si="108"/>
        <v>42370</v>
      </c>
      <c r="AK105" s="167">
        <f t="shared" si="109"/>
        <v>42399</v>
      </c>
      <c r="AL105" s="168">
        <f t="shared" si="87"/>
        <v>1869.08</v>
      </c>
      <c r="AM105" s="169">
        <f t="shared" si="88"/>
        <v>2277.88</v>
      </c>
      <c r="AN105" s="170">
        <f t="shared" si="89"/>
        <v>30</v>
      </c>
      <c r="AO105" s="170">
        <f t="shared" si="90"/>
        <v>1</v>
      </c>
      <c r="AP105" s="170">
        <f t="shared" si="91"/>
        <v>0</v>
      </c>
      <c r="AQ105" s="171">
        <f t="shared" si="92"/>
        <v>57.295525951999991</v>
      </c>
      <c r="AR105" s="171">
        <f t="shared" si="93"/>
        <v>69.827044672</v>
      </c>
      <c r="AS105" s="171">
        <f t="shared" si="94"/>
        <v>12.531518720000008</v>
      </c>
      <c r="AT105" s="167">
        <f t="shared" si="110"/>
        <v>42370</v>
      </c>
      <c r="AU105" s="167">
        <f t="shared" si="111"/>
        <v>42399</v>
      </c>
      <c r="AV105" s="168">
        <f t="shared" si="95"/>
        <v>1869.08</v>
      </c>
      <c r="AW105" s="169">
        <f t="shared" si="96"/>
        <v>2277.88</v>
      </c>
      <c r="AX105" s="170">
        <f t="shared" si="97"/>
        <v>30</v>
      </c>
      <c r="AY105" s="170">
        <f t="shared" si="98"/>
        <v>1</v>
      </c>
      <c r="AZ105" s="170">
        <f t="shared" si="99"/>
        <v>0</v>
      </c>
      <c r="BA105" s="171">
        <f t="shared" si="100"/>
        <v>76.416961983999997</v>
      </c>
      <c r="BB105" s="171">
        <f t="shared" si="101"/>
        <v>93.130668224000004</v>
      </c>
      <c r="BC105" s="171">
        <f t="shared" si="102"/>
        <v>16.713706240000008</v>
      </c>
      <c r="BD105" s="171">
        <f t="shared" si="103"/>
        <v>126.29434496000007</v>
      </c>
    </row>
    <row r="106" spans="1:56">
      <c r="A106" s="587" t="str">
        <f>'BANCO DADOS-CUSTO TOTAL'!C131</f>
        <v>São Sebastião do Paraíso</v>
      </c>
      <c r="B106" s="588" t="str">
        <f>'BANCO DADOS-CUSTO TOTAL'!H131</f>
        <v>BELTRANO 124205</v>
      </c>
      <c r="C106" s="588" t="str">
        <f>'BANCO DADOS-CUSTO TOTAL'!I131</f>
        <v>VIGILANTE ARMADO - 12X36 DIURNO</v>
      </c>
      <c r="D106" s="172"/>
      <c r="E106" s="172"/>
      <c r="F106" s="167"/>
      <c r="G106" s="167"/>
      <c r="H106" s="168"/>
      <c r="I106" s="169"/>
      <c r="J106" s="170">
        <f t="shared" si="65"/>
        <v>0</v>
      </c>
      <c r="K106" s="170">
        <f t="shared" si="66"/>
        <v>0</v>
      </c>
      <c r="L106" s="170">
        <f t="shared" si="67"/>
        <v>0</v>
      </c>
      <c r="M106" s="171">
        <f t="shared" si="68"/>
        <v>0</v>
      </c>
      <c r="N106" s="171">
        <f t="shared" si="69"/>
        <v>0</v>
      </c>
      <c r="O106" s="171">
        <f t="shared" si="70"/>
        <v>0</v>
      </c>
      <c r="P106" s="167">
        <f t="shared" si="104"/>
        <v>0</v>
      </c>
      <c r="Q106" s="167">
        <f t="shared" si="105"/>
        <v>0</v>
      </c>
      <c r="R106" s="168">
        <f t="shared" si="71"/>
        <v>0</v>
      </c>
      <c r="S106" s="169">
        <f t="shared" si="72"/>
        <v>0</v>
      </c>
      <c r="T106" s="170">
        <f t="shared" si="73"/>
        <v>1</v>
      </c>
      <c r="U106" s="170">
        <f t="shared" si="74"/>
        <v>0</v>
      </c>
      <c r="V106" s="170">
        <f t="shared" si="75"/>
        <v>1</v>
      </c>
      <c r="W106" s="171">
        <f t="shared" si="76"/>
        <v>0</v>
      </c>
      <c r="X106" s="171">
        <f t="shared" si="77"/>
        <v>0</v>
      </c>
      <c r="Y106" s="171">
        <f t="shared" si="78"/>
        <v>0</v>
      </c>
      <c r="Z106" s="167">
        <f t="shared" si="106"/>
        <v>0</v>
      </c>
      <c r="AA106" s="167">
        <f t="shared" si="107"/>
        <v>0</v>
      </c>
      <c r="AB106" s="168">
        <f t="shared" si="79"/>
        <v>0</v>
      </c>
      <c r="AC106" s="169">
        <f t="shared" si="80"/>
        <v>0</v>
      </c>
      <c r="AD106" s="170">
        <f t="shared" si="81"/>
        <v>1</v>
      </c>
      <c r="AE106" s="170">
        <f t="shared" si="82"/>
        <v>0</v>
      </c>
      <c r="AF106" s="170">
        <f t="shared" si="83"/>
        <v>1</v>
      </c>
      <c r="AG106" s="171">
        <f t="shared" si="84"/>
        <v>0</v>
      </c>
      <c r="AH106" s="171">
        <f t="shared" si="85"/>
        <v>0</v>
      </c>
      <c r="AI106" s="171">
        <f t="shared" si="86"/>
        <v>0</v>
      </c>
      <c r="AJ106" s="167">
        <f t="shared" si="108"/>
        <v>0</v>
      </c>
      <c r="AK106" s="167">
        <f t="shared" si="109"/>
        <v>0</v>
      </c>
      <c r="AL106" s="168">
        <f t="shared" si="87"/>
        <v>0</v>
      </c>
      <c r="AM106" s="169">
        <f t="shared" si="88"/>
        <v>0</v>
      </c>
      <c r="AN106" s="170">
        <f t="shared" si="89"/>
        <v>1</v>
      </c>
      <c r="AO106" s="170">
        <f t="shared" si="90"/>
        <v>0</v>
      </c>
      <c r="AP106" s="170">
        <f t="shared" si="91"/>
        <v>1</v>
      </c>
      <c r="AQ106" s="171">
        <f t="shared" si="92"/>
        <v>0</v>
      </c>
      <c r="AR106" s="171">
        <f t="shared" si="93"/>
        <v>0</v>
      </c>
      <c r="AS106" s="171">
        <f t="shared" si="94"/>
        <v>0</v>
      </c>
      <c r="AT106" s="167">
        <f t="shared" si="110"/>
        <v>0</v>
      </c>
      <c r="AU106" s="167">
        <f t="shared" si="111"/>
        <v>0</v>
      </c>
      <c r="AV106" s="168">
        <f t="shared" si="95"/>
        <v>0</v>
      </c>
      <c r="AW106" s="169">
        <f t="shared" si="96"/>
        <v>0</v>
      </c>
      <c r="AX106" s="170">
        <f t="shared" si="97"/>
        <v>1</v>
      </c>
      <c r="AY106" s="170">
        <f t="shared" si="98"/>
        <v>0</v>
      </c>
      <c r="AZ106" s="170">
        <f t="shared" si="99"/>
        <v>1</v>
      </c>
      <c r="BA106" s="171">
        <f t="shared" si="100"/>
        <v>0</v>
      </c>
      <c r="BB106" s="171">
        <f t="shared" si="101"/>
        <v>0</v>
      </c>
      <c r="BC106" s="171">
        <f t="shared" si="102"/>
        <v>0</v>
      </c>
      <c r="BD106" s="171">
        <f t="shared" si="103"/>
        <v>0</v>
      </c>
    </row>
    <row r="107" spans="1:56">
      <c r="A107" s="587" t="str">
        <f>'BANCO DADOS-CUSTO TOTAL'!C133</f>
        <v>Sete Lagoas</v>
      </c>
      <c r="B107" s="588" t="str">
        <f>'BANCO DADOS-CUSTO TOTAL'!H133</f>
        <v>BELTRANO 12430</v>
      </c>
      <c r="C107" s="588" t="str">
        <f>'BANCO DADOS-CUSTO TOTAL'!I133</f>
        <v>VIGILANTE ARMADO - 12X36 DIURNO</v>
      </c>
      <c r="D107" s="172"/>
      <c r="E107" s="172"/>
      <c r="F107" s="167">
        <v>42370</v>
      </c>
      <c r="G107" s="167">
        <v>42399</v>
      </c>
      <c r="H107" s="168">
        <f t="shared" si="64"/>
        <v>1869.08</v>
      </c>
      <c r="I107" s="169">
        <f>'BANCO DADOS-CUSTO TOTAL'!Y133</f>
        <v>2277.88</v>
      </c>
      <c r="J107" s="170">
        <f t="shared" si="65"/>
        <v>30</v>
      </c>
      <c r="K107" s="170">
        <f t="shared" si="66"/>
        <v>1</v>
      </c>
      <c r="L107" s="170">
        <f t="shared" si="67"/>
        <v>0</v>
      </c>
      <c r="M107" s="171">
        <f t="shared" si="68"/>
        <v>155.69436399999998</v>
      </c>
      <c r="N107" s="171">
        <f t="shared" si="69"/>
        <v>189.74740400000002</v>
      </c>
      <c r="O107" s="171">
        <f t="shared" si="70"/>
        <v>34.053040000000038</v>
      </c>
      <c r="P107" s="167">
        <f t="shared" si="104"/>
        <v>42370</v>
      </c>
      <c r="Q107" s="167">
        <f t="shared" si="105"/>
        <v>42399</v>
      </c>
      <c r="R107" s="168">
        <f t="shared" si="71"/>
        <v>1869.08</v>
      </c>
      <c r="S107" s="169">
        <f t="shared" si="72"/>
        <v>2277.88</v>
      </c>
      <c r="T107" s="170">
        <f t="shared" si="73"/>
        <v>30</v>
      </c>
      <c r="U107" s="170">
        <f t="shared" si="74"/>
        <v>1</v>
      </c>
      <c r="V107" s="170">
        <f t="shared" si="75"/>
        <v>0</v>
      </c>
      <c r="W107" s="171">
        <f t="shared" si="76"/>
        <v>207.654788</v>
      </c>
      <c r="X107" s="171">
        <f t="shared" si="77"/>
        <v>253.07246800000001</v>
      </c>
      <c r="Y107" s="171">
        <f t="shared" si="78"/>
        <v>45.417680000000018</v>
      </c>
      <c r="Z107" s="167">
        <f t="shared" si="106"/>
        <v>42370</v>
      </c>
      <c r="AA107" s="167">
        <f t="shared" si="107"/>
        <v>42399</v>
      </c>
      <c r="AB107" s="168">
        <f t="shared" si="79"/>
        <v>1869.08</v>
      </c>
      <c r="AC107" s="169">
        <f t="shared" si="80"/>
        <v>2277.88</v>
      </c>
      <c r="AD107" s="170">
        <f t="shared" si="81"/>
        <v>30</v>
      </c>
      <c r="AE107" s="170">
        <f t="shared" si="82"/>
        <v>1</v>
      </c>
      <c r="AF107" s="170">
        <f t="shared" si="83"/>
        <v>0</v>
      </c>
      <c r="AG107" s="171">
        <f t="shared" si="84"/>
        <v>80.370439999999988</v>
      </c>
      <c r="AH107" s="171">
        <f t="shared" si="85"/>
        <v>97.94883999999999</v>
      </c>
      <c r="AI107" s="171">
        <f t="shared" si="86"/>
        <v>17.578400000000002</v>
      </c>
      <c r="AJ107" s="167">
        <f t="shared" si="108"/>
        <v>42370</v>
      </c>
      <c r="AK107" s="167">
        <f t="shared" si="109"/>
        <v>42399</v>
      </c>
      <c r="AL107" s="168">
        <f t="shared" si="87"/>
        <v>1869.08</v>
      </c>
      <c r="AM107" s="169">
        <f t="shared" si="88"/>
        <v>2277.88</v>
      </c>
      <c r="AN107" s="170">
        <f t="shared" si="89"/>
        <v>30</v>
      </c>
      <c r="AO107" s="170">
        <f t="shared" si="90"/>
        <v>1</v>
      </c>
      <c r="AP107" s="170">
        <f t="shared" si="91"/>
        <v>0</v>
      </c>
      <c r="AQ107" s="171">
        <f t="shared" si="92"/>
        <v>57.295525951999991</v>
      </c>
      <c r="AR107" s="171">
        <f t="shared" si="93"/>
        <v>69.827044672</v>
      </c>
      <c r="AS107" s="171">
        <f t="shared" si="94"/>
        <v>12.531518720000008</v>
      </c>
      <c r="AT107" s="167">
        <f t="shared" si="110"/>
        <v>42370</v>
      </c>
      <c r="AU107" s="167">
        <f t="shared" si="111"/>
        <v>42399</v>
      </c>
      <c r="AV107" s="168">
        <f t="shared" si="95"/>
        <v>1869.08</v>
      </c>
      <c r="AW107" s="169">
        <f t="shared" si="96"/>
        <v>2277.88</v>
      </c>
      <c r="AX107" s="170">
        <f t="shared" si="97"/>
        <v>30</v>
      </c>
      <c r="AY107" s="170">
        <f t="shared" si="98"/>
        <v>1</v>
      </c>
      <c r="AZ107" s="170">
        <f t="shared" si="99"/>
        <v>0</v>
      </c>
      <c r="BA107" s="171">
        <f t="shared" si="100"/>
        <v>76.416961983999997</v>
      </c>
      <c r="BB107" s="171">
        <f t="shared" si="101"/>
        <v>93.130668224000004</v>
      </c>
      <c r="BC107" s="171">
        <f t="shared" si="102"/>
        <v>16.713706240000008</v>
      </c>
      <c r="BD107" s="171">
        <f t="shared" si="103"/>
        <v>126.29434496000007</v>
      </c>
    </row>
    <row r="108" spans="1:56">
      <c r="A108" s="587" t="str">
        <f>'BANCO DADOS-CUSTO TOTAL'!C134</f>
        <v>Sete Lagoas</v>
      </c>
      <c r="B108" s="588" t="str">
        <f>'BANCO DADOS-CUSTO TOTAL'!H134</f>
        <v>BELTRANO 12431</v>
      </c>
      <c r="C108" s="588" t="str">
        <f>'BANCO DADOS-CUSTO TOTAL'!I134</f>
        <v>VIGILANTE ARMADO - 12X36 DIURNO</v>
      </c>
      <c r="D108" s="172"/>
      <c r="E108" s="172"/>
      <c r="F108" s="167">
        <v>42370</v>
      </c>
      <c r="G108" s="167">
        <v>42399</v>
      </c>
      <c r="H108" s="168">
        <f t="shared" si="64"/>
        <v>1869.08</v>
      </c>
      <c r="I108" s="169">
        <f>'BANCO DADOS-CUSTO TOTAL'!Y134</f>
        <v>2277.88</v>
      </c>
      <c r="J108" s="170">
        <f t="shared" si="65"/>
        <v>30</v>
      </c>
      <c r="K108" s="170">
        <f t="shared" si="66"/>
        <v>1</v>
      </c>
      <c r="L108" s="170">
        <f t="shared" si="67"/>
        <v>0</v>
      </c>
      <c r="M108" s="171">
        <f t="shared" si="68"/>
        <v>155.69436399999998</v>
      </c>
      <c r="N108" s="171">
        <f t="shared" si="69"/>
        <v>189.74740400000002</v>
      </c>
      <c r="O108" s="171">
        <f t="shared" si="70"/>
        <v>34.053040000000038</v>
      </c>
      <c r="P108" s="167">
        <f t="shared" si="104"/>
        <v>42370</v>
      </c>
      <c r="Q108" s="167">
        <f t="shared" si="105"/>
        <v>42399</v>
      </c>
      <c r="R108" s="168">
        <f t="shared" si="71"/>
        <v>1869.08</v>
      </c>
      <c r="S108" s="169">
        <f t="shared" si="72"/>
        <v>2277.88</v>
      </c>
      <c r="T108" s="170">
        <f t="shared" si="73"/>
        <v>30</v>
      </c>
      <c r="U108" s="170">
        <f t="shared" si="74"/>
        <v>1</v>
      </c>
      <c r="V108" s="170">
        <f t="shared" si="75"/>
        <v>0</v>
      </c>
      <c r="W108" s="171">
        <f t="shared" si="76"/>
        <v>207.654788</v>
      </c>
      <c r="X108" s="171">
        <f t="shared" si="77"/>
        <v>253.07246800000001</v>
      </c>
      <c r="Y108" s="171">
        <f t="shared" si="78"/>
        <v>45.417680000000018</v>
      </c>
      <c r="Z108" s="167">
        <f t="shared" si="106"/>
        <v>42370</v>
      </c>
      <c r="AA108" s="167">
        <f t="shared" si="107"/>
        <v>42399</v>
      </c>
      <c r="AB108" s="168">
        <f t="shared" si="79"/>
        <v>1869.08</v>
      </c>
      <c r="AC108" s="169">
        <f t="shared" si="80"/>
        <v>2277.88</v>
      </c>
      <c r="AD108" s="170">
        <f t="shared" si="81"/>
        <v>30</v>
      </c>
      <c r="AE108" s="170">
        <f t="shared" si="82"/>
        <v>1</v>
      </c>
      <c r="AF108" s="170">
        <f t="shared" si="83"/>
        <v>0</v>
      </c>
      <c r="AG108" s="171">
        <f t="shared" si="84"/>
        <v>80.370439999999988</v>
      </c>
      <c r="AH108" s="171">
        <f t="shared" si="85"/>
        <v>97.94883999999999</v>
      </c>
      <c r="AI108" s="171">
        <f t="shared" si="86"/>
        <v>17.578400000000002</v>
      </c>
      <c r="AJ108" s="167">
        <f t="shared" si="108"/>
        <v>42370</v>
      </c>
      <c r="AK108" s="167">
        <f t="shared" si="109"/>
        <v>42399</v>
      </c>
      <c r="AL108" s="168">
        <f t="shared" si="87"/>
        <v>1869.08</v>
      </c>
      <c r="AM108" s="169">
        <f t="shared" si="88"/>
        <v>2277.88</v>
      </c>
      <c r="AN108" s="170">
        <f t="shared" si="89"/>
        <v>30</v>
      </c>
      <c r="AO108" s="170">
        <f t="shared" si="90"/>
        <v>1</v>
      </c>
      <c r="AP108" s="170">
        <f t="shared" si="91"/>
        <v>0</v>
      </c>
      <c r="AQ108" s="171">
        <f t="shared" si="92"/>
        <v>57.295525951999991</v>
      </c>
      <c r="AR108" s="171">
        <f t="shared" si="93"/>
        <v>69.827044672</v>
      </c>
      <c r="AS108" s="171">
        <f t="shared" si="94"/>
        <v>12.531518720000008</v>
      </c>
      <c r="AT108" s="167">
        <f t="shared" si="110"/>
        <v>42370</v>
      </c>
      <c r="AU108" s="167">
        <f t="shared" si="111"/>
        <v>42399</v>
      </c>
      <c r="AV108" s="168">
        <f t="shared" si="95"/>
        <v>1869.08</v>
      </c>
      <c r="AW108" s="169">
        <f t="shared" si="96"/>
        <v>2277.88</v>
      </c>
      <c r="AX108" s="170">
        <f t="shared" si="97"/>
        <v>30</v>
      </c>
      <c r="AY108" s="170">
        <f t="shared" si="98"/>
        <v>1</v>
      </c>
      <c r="AZ108" s="170">
        <f t="shared" si="99"/>
        <v>0</v>
      </c>
      <c r="BA108" s="171">
        <f t="shared" si="100"/>
        <v>76.416961983999997</v>
      </c>
      <c r="BB108" s="171">
        <f t="shared" si="101"/>
        <v>93.130668224000004</v>
      </c>
      <c r="BC108" s="171">
        <f t="shared" si="102"/>
        <v>16.713706240000008</v>
      </c>
      <c r="BD108" s="171">
        <f t="shared" si="103"/>
        <v>126.29434496000007</v>
      </c>
    </row>
    <row r="109" spans="1:56">
      <c r="A109" s="587" t="str">
        <f>'BANCO DADOS-CUSTO TOTAL'!C136</f>
        <v>Uberaba</v>
      </c>
      <c r="B109" s="588" t="str">
        <f>'BANCO DADOS-CUSTO TOTAL'!H136</f>
        <v>BELTRANO 12432</v>
      </c>
      <c r="C109" s="588" t="str">
        <f>'BANCO DADOS-CUSTO TOTAL'!I136</f>
        <v>VIGILANTE ARMADO - 12X36 DIURNO</v>
      </c>
      <c r="D109" s="172"/>
      <c r="E109" s="172"/>
      <c r="F109" s="167">
        <v>42370</v>
      </c>
      <c r="G109" s="167">
        <v>42399</v>
      </c>
      <c r="H109" s="168">
        <f t="shared" si="64"/>
        <v>1869.08</v>
      </c>
      <c r="I109" s="169">
        <f>'BANCO DADOS-CUSTO TOTAL'!Y136</f>
        <v>2277.88</v>
      </c>
      <c r="J109" s="170">
        <f t="shared" si="65"/>
        <v>30</v>
      </c>
      <c r="K109" s="170">
        <f t="shared" si="66"/>
        <v>1</v>
      </c>
      <c r="L109" s="170">
        <f t="shared" si="67"/>
        <v>0</v>
      </c>
      <c r="M109" s="171">
        <f t="shared" si="68"/>
        <v>155.69436399999998</v>
      </c>
      <c r="N109" s="171">
        <f t="shared" si="69"/>
        <v>189.74740400000002</v>
      </c>
      <c r="O109" s="171">
        <f t="shared" si="70"/>
        <v>34.053040000000038</v>
      </c>
      <c r="P109" s="167">
        <f t="shared" si="104"/>
        <v>42370</v>
      </c>
      <c r="Q109" s="167">
        <f t="shared" si="105"/>
        <v>42399</v>
      </c>
      <c r="R109" s="168">
        <f t="shared" si="71"/>
        <v>1869.08</v>
      </c>
      <c r="S109" s="169">
        <f t="shared" si="72"/>
        <v>2277.88</v>
      </c>
      <c r="T109" s="170">
        <f t="shared" si="73"/>
        <v>30</v>
      </c>
      <c r="U109" s="170">
        <f t="shared" si="74"/>
        <v>1</v>
      </c>
      <c r="V109" s="170">
        <f t="shared" si="75"/>
        <v>0</v>
      </c>
      <c r="W109" s="171">
        <f t="shared" si="76"/>
        <v>207.654788</v>
      </c>
      <c r="X109" s="171">
        <f t="shared" si="77"/>
        <v>253.07246800000001</v>
      </c>
      <c r="Y109" s="171">
        <f t="shared" si="78"/>
        <v>45.417680000000018</v>
      </c>
      <c r="Z109" s="167">
        <f t="shared" si="106"/>
        <v>42370</v>
      </c>
      <c r="AA109" s="167">
        <f t="shared" si="107"/>
        <v>42399</v>
      </c>
      <c r="AB109" s="168">
        <f t="shared" si="79"/>
        <v>1869.08</v>
      </c>
      <c r="AC109" s="169">
        <f t="shared" si="80"/>
        <v>2277.88</v>
      </c>
      <c r="AD109" s="170">
        <f t="shared" si="81"/>
        <v>30</v>
      </c>
      <c r="AE109" s="170">
        <f t="shared" si="82"/>
        <v>1</v>
      </c>
      <c r="AF109" s="170">
        <f t="shared" si="83"/>
        <v>0</v>
      </c>
      <c r="AG109" s="171">
        <f t="shared" si="84"/>
        <v>80.370439999999988</v>
      </c>
      <c r="AH109" s="171">
        <f t="shared" si="85"/>
        <v>97.94883999999999</v>
      </c>
      <c r="AI109" s="171">
        <f t="shared" si="86"/>
        <v>17.578400000000002</v>
      </c>
      <c r="AJ109" s="167">
        <f t="shared" si="108"/>
        <v>42370</v>
      </c>
      <c r="AK109" s="167">
        <f t="shared" si="109"/>
        <v>42399</v>
      </c>
      <c r="AL109" s="168">
        <f t="shared" si="87"/>
        <v>1869.08</v>
      </c>
      <c r="AM109" s="169">
        <f t="shared" si="88"/>
        <v>2277.88</v>
      </c>
      <c r="AN109" s="170">
        <f t="shared" si="89"/>
        <v>30</v>
      </c>
      <c r="AO109" s="170">
        <f t="shared" si="90"/>
        <v>1</v>
      </c>
      <c r="AP109" s="170">
        <f t="shared" si="91"/>
        <v>0</v>
      </c>
      <c r="AQ109" s="171">
        <f t="shared" si="92"/>
        <v>57.295525951999991</v>
      </c>
      <c r="AR109" s="171">
        <f t="shared" si="93"/>
        <v>69.827044672</v>
      </c>
      <c r="AS109" s="171">
        <f t="shared" si="94"/>
        <v>12.531518720000008</v>
      </c>
      <c r="AT109" s="167">
        <f t="shared" si="110"/>
        <v>42370</v>
      </c>
      <c r="AU109" s="167">
        <f t="shared" si="111"/>
        <v>42399</v>
      </c>
      <c r="AV109" s="168">
        <f t="shared" si="95"/>
        <v>1869.08</v>
      </c>
      <c r="AW109" s="169">
        <f t="shared" si="96"/>
        <v>2277.88</v>
      </c>
      <c r="AX109" s="170">
        <f t="shared" si="97"/>
        <v>30</v>
      </c>
      <c r="AY109" s="170">
        <f t="shared" si="98"/>
        <v>1</v>
      </c>
      <c r="AZ109" s="170">
        <f t="shared" si="99"/>
        <v>0</v>
      </c>
      <c r="BA109" s="171">
        <f t="shared" si="100"/>
        <v>76.416961983999997</v>
      </c>
      <c r="BB109" s="171">
        <f t="shared" si="101"/>
        <v>93.130668224000004</v>
      </c>
      <c r="BC109" s="171">
        <f t="shared" si="102"/>
        <v>16.713706240000008</v>
      </c>
      <c r="BD109" s="171">
        <f t="shared" si="103"/>
        <v>126.29434496000007</v>
      </c>
    </row>
    <row r="110" spans="1:56">
      <c r="A110" s="587" t="str">
        <f>'BANCO DADOS-CUSTO TOTAL'!C137</f>
        <v>Uberaba</v>
      </c>
      <c r="B110" s="588" t="str">
        <f>'BANCO DADOS-CUSTO TOTAL'!H137</f>
        <v>BELTRANO 12433</v>
      </c>
      <c r="C110" s="588" t="str">
        <f>'BANCO DADOS-CUSTO TOTAL'!I137</f>
        <v>VIGILANTE ARMADO - 12X36 DIURNO</v>
      </c>
      <c r="D110" s="172"/>
      <c r="E110" s="172"/>
      <c r="F110" s="167">
        <v>42370</v>
      </c>
      <c r="G110" s="167">
        <v>42399</v>
      </c>
      <c r="H110" s="168">
        <f t="shared" si="64"/>
        <v>1869.08</v>
      </c>
      <c r="I110" s="169">
        <f>'BANCO DADOS-CUSTO TOTAL'!Y137</f>
        <v>2277.88</v>
      </c>
      <c r="J110" s="170">
        <f t="shared" si="65"/>
        <v>30</v>
      </c>
      <c r="K110" s="170">
        <f t="shared" si="66"/>
        <v>1</v>
      </c>
      <c r="L110" s="170">
        <f t="shared" si="67"/>
        <v>0</v>
      </c>
      <c r="M110" s="171">
        <f t="shared" si="68"/>
        <v>155.69436399999998</v>
      </c>
      <c r="N110" s="171">
        <f t="shared" si="69"/>
        <v>189.74740400000002</v>
      </c>
      <c r="O110" s="171">
        <f t="shared" si="70"/>
        <v>34.053040000000038</v>
      </c>
      <c r="P110" s="167">
        <f t="shared" si="104"/>
        <v>42370</v>
      </c>
      <c r="Q110" s="167">
        <f t="shared" si="105"/>
        <v>42399</v>
      </c>
      <c r="R110" s="168">
        <f t="shared" si="71"/>
        <v>1869.08</v>
      </c>
      <c r="S110" s="169">
        <f t="shared" si="72"/>
        <v>2277.88</v>
      </c>
      <c r="T110" s="170">
        <f t="shared" si="73"/>
        <v>30</v>
      </c>
      <c r="U110" s="170">
        <f t="shared" si="74"/>
        <v>1</v>
      </c>
      <c r="V110" s="170">
        <f t="shared" si="75"/>
        <v>0</v>
      </c>
      <c r="W110" s="171">
        <f t="shared" si="76"/>
        <v>207.654788</v>
      </c>
      <c r="X110" s="171">
        <f t="shared" si="77"/>
        <v>253.07246800000001</v>
      </c>
      <c r="Y110" s="171">
        <f t="shared" si="78"/>
        <v>45.417680000000018</v>
      </c>
      <c r="Z110" s="167">
        <f t="shared" si="106"/>
        <v>42370</v>
      </c>
      <c r="AA110" s="167">
        <f t="shared" si="107"/>
        <v>42399</v>
      </c>
      <c r="AB110" s="168">
        <f t="shared" si="79"/>
        <v>1869.08</v>
      </c>
      <c r="AC110" s="169">
        <f t="shared" si="80"/>
        <v>2277.88</v>
      </c>
      <c r="AD110" s="170">
        <f t="shared" si="81"/>
        <v>30</v>
      </c>
      <c r="AE110" s="170">
        <f t="shared" si="82"/>
        <v>1</v>
      </c>
      <c r="AF110" s="170">
        <f t="shared" si="83"/>
        <v>0</v>
      </c>
      <c r="AG110" s="171">
        <f t="shared" si="84"/>
        <v>80.370439999999988</v>
      </c>
      <c r="AH110" s="171">
        <f t="shared" si="85"/>
        <v>97.94883999999999</v>
      </c>
      <c r="AI110" s="171">
        <f t="shared" si="86"/>
        <v>17.578400000000002</v>
      </c>
      <c r="AJ110" s="167">
        <f t="shared" si="108"/>
        <v>42370</v>
      </c>
      <c r="AK110" s="167">
        <f t="shared" si="109"/>
        <v>42399</v>
      </c>
      <c r="AL110" s="168">
        <f t="shared" si="87"/>
        <v>1869.08</v>
      </c>
      <c r="AM110" s="169">
        <f t="shared" si="88"/>
        <v>2277.88</v>
      </c>
      <c r="AN110" s="170">
        <f t="shared" si="89"/>
        <v>30</v>
      </c>
      <c r="AO110" s="170">
        <f t="shared" si="90"/>
        <v>1</v>
      </c>
      <c r="AP110" s="170">
        <f t="shared" si="91"/>
        <v>0</v>
      </c>
      <c r="AQ110" s="171">
        <f t="shared" si="92"/>
        <v>57.295525951999991</v>
      </c>
      <c r="AR110" s="171">
        <f t="shared" si="93"/>
        <v>69.827044672</v>
      </c>
      <c r="AS110" s="171">
        <f t="shared" si="94"/>
        <v>12.531518720000008</v>
      </c>
      <c r="AT110" s="167">
        <f t="shared" si="110"/>
        <v>42370</v>
      </c>
      <c r="AU110" s="167">
        <f t="shared" si="111"/>
        <v>42399</v>
      </c>
      <c r="AV110" s="168">
        <f t="shared" si="95"/>
        <v>1869.08</v>
      </c>
      <c r="AW110" s="169">
        <f t="shared" si="96"/>
        <v>2277.88</v>
      </c>
      <c r="AX110" s="170">
        <f t="shared" si="97"/>
        <v>30</v>
      </c>
      <c r="AY110" s="170">
        <f t="shared" si="98"/>
        <v>1</v>
      </c>
      <c r="AZ110" s="170">
        <f t="shared" si="99"/>
        <v>0</v>
      </c>
      <c r="BA110" s="171">
        <f t="shared" si="100"/>
        <v>76.416961983999997</v>
      </c>
      <c r="BB110" s="171">
        <f t="shared" si="101"/>
        <v>93.130668224000004</v>
      </c>
      <c r="BC110" s="171">
        <f t="shared" si="102"/>
        <v>16.713706240000008</v>
      </c>
      <c r="BD110" s="171">
        <f t="shared" si="103"/>
        <v>126.29434496000007</v>
      </c>
    </row>
    <row r="111" spans="1:56">
      <c r="A111" s="587" t="str">
        <f>'BANCO DADOS-CUSTO TOTAL'!C138</f>
        <v>Uberaba</v>
      </c>
      <c r="B111" s="588" t="str">
        <f>'BANCO DADOS-CUSTO TOTAL'!H138</f>
        <v>BELTRANO 12434</v>
      </c>
      <c r="C111" s="588" t="str">
        <f>'BANCO DADOS-CUSTO TOTAL'!I138</f>
        <v>VIGILANTE ARMADO - 12X36 NOTURNO</v>
      </c>
      <c r="D111" s="172"/>
      <c r="E111" s="172"/>
      <c r="F111" s="167">
        <v>42370</v>
      </c>
      <c r="G111" s="167">
        <v>42399</v>
      </c>
      <c r="H111" s="168">
        <f t="shared" si="64"/>
        <v>2229.92</v>
      </c>
      <c r="I111" s="169">
        <f>'BANCO DADOS-CUSTO TOTAL'!Y138</f>
        <v>2717.9</v>
      </c>
      <c r="J111" s="170">
        <f t="shared" si="65"/>
        <v>30</v>
      </c>
      <c r="K111" s="170">
        <f t="shared" si="66"/>
        <v>1</v>
      </c>
      <c r="L111" s="170">
        <f t="shared" si="67"/>
        <v>0</v>
      </c>
      <c r="M111" s="171">
        <f t="shared" si="68"/>
        <v>185.75233600000001</v>
      </c>
      <c r="N111" s="171">
        <f t="shared" si="69"/>
        <v>226.40107</v>
      </c>
      <c r="O111" s="171">
        <f t="shared" si="70"/>
        <v>40.64873399999999</v>
      </c>
      <c r="P111" s="167">
        <f t="shared" si="104"/>
        <v>42370</v>
      </c>
      <c r="Q111" s="167">
        <f t="shared" si="105"/>
        <v>42399</v>
      </c>
      <c r="R111" s="168">
        <f t="shared" si="71"/>
        <v>2229.92</v>
      </c>
      <c r="S111" s="169">
        <f t="shared" si="72"/>
        <v>2717.9</v>
      </c>
      <c r="T111" s="170">
        <f t="shared" si="73"/>
        <v>30</v>
      </c>
      <c r="U111" s="170">
        <f t="shared" si="74"/>
        <v>1</v>
      </c>
      <c r="V111" s="170">
        <f t="shared" si="75"/>
        <v>0</v>
      </c>
      <c r="W111" s="171">
        <f t="shared" si="76"/>
        <v>247.74411200000003</v>
      </c>
      <c r="X111" s="171">
        <f t="shared" si="77"/>
        <v>301.95869000000005</v>
      </c>
      <c r="Y111" s="171">
        <f t="shared" si="78"/>
        <v>54.214578000000017</v>
      </c>
      <c r="Z111" s="167">
        <f t="shared" si="106"/>
        <v>42370</v>
      </c>
      <c r="AA111" s="167">
        <f t="shared" si="107"/>
        <v>42399</v>
      </c>
      <c r="AB111" s="168">
        <f t="shared" si="79"/>
        <v>2229.92</v>
      </c>
      <c r="AC111" s="169">
        <f t="shared" si="80"/>
        <v>2717.9</v>
      </c>
      <c r="AD111" s="170">
        <f t="shared" si="81"/>
        <v>30</v>
      </c>
      <c r="AE111" s="170">
        <f t="shared" si="82"/>
        <v>1</v>
      </c>
      <c r="AF111" s="170">
        <f t="shared" si="83"/>
        <v>0</v>
      </c>
      <c r="AG111" s="171">
        <f t="shared" si="84"/>
        <v>95.886559999999989</v>
      </c>
      <c r="AH111" s="171">
        <f t="shared" si="85"/>
        <v>116.86969999999999</v>
      </c>
      <c r="AI111" s="171">
        <f t="shared" si="86"/>
        <v>20.983140000000006</v>
      </c>
      <c r="AJ111" s="167">
        <f t="shared" si="108"/>
        <v>42370</v>
      </c>
      <c r="AK111" s="167">
        <f t="shared" si="109"/>
        <v>42399</v>
      </c>
      <c r="AL111" s="168">
        <f t="shared" si="87"/>
        <v>2229.92</v>
      </c>
      <c r="AM111" s="169">
        <f t="shared" si="88"/>
        <v>2717.9</v>
      </c>
      <c r="AN111" s="170">
        <f t="shared" si="89"/>
        <v>30</v>
      </c>
      <c r="AO111" s="170">
        <f t="shared" si="90"/>
        <v>1</v>
      </c>
      <c r="AP111" s="170">
        <f t="shared" si="91"/>
        <v>0</v>
      </c>
      <c r="AQ111" s="171">
        <f t="shared" si="92"/>
        <v>68.356859647999997</v>
      </c>
      <c r="AR111" s="171">
        <f t="shared" si="93"/>
        <v>83.315593759999999</v>
      </c>
      <c r="AS111" s="171">
        <f t="shared" si="94"/>
        <v>14.958734112000002</v>
      </c>
      <c r="AT111" s="167">
        <f t="shared" si="110"/>
        <v>42370</v>
      </c>
      <c r="AU111" s="167">
        <f t="shared" si="111"/>
        <v>42399</v>
      </c>
      <c r="AV111" s="168">
        <f t="shared" si="95"/>
        <v>2229.92</v>
      </c>
      <c r="AW111" s="169">
        <f t="shared" si="96"/>
        <v>2717.9</v>
      </c>
      <c r="AX111" s="170">
        <f t="shared" si="97"/>
        <v>30</v>
      </c>
      <c r="AY111" s="170">
        <f t="shared" si="98"/>
        <v>1</v>
      </c>
      <c r="AZ111" s="170">
        <f t="shared" si="99"/>
        <v>0</v>
      </c>
      <c r="BA111" s="171">
        <f t="shared" si="100"/>
        <v>91.169833216000001</v>
      </c>
      <c r="BB111" s="171">
        <f t="shared" si="101"/>
        <v>111.12079792</v>
      </c>
      <c r="BC111" s="171">
        <f t="shared" si="102"/>
        <v>19.950964704</v>
      </c>
      <c r="BD111" s="171">
        <f t="shared" si="103"/>
        <v>150.756150816</v>
      </c>
    </row>
    <row r="112" spans="1:56">
      <c r="A112" s="587" t="str">
        <f>'BANCO DADOS-CUSTO TOTAL'!C139</f>
        <v>Uberaba</v>
      </c>
      <c r="B112" s="588" t="str">
        <f>'BANCO DADOS-CUSTO TOTAL'!H139</f>
        <v>BELTRANO 12435</v>
      </c>
      <c r="C112" s="588" t="str">
        <f>'BANCO DADOS-CUSTO TOTAL'!I139</f>
        <v>VIGILANTE ARMADO - 12X36 NOTURNO</v>
      </c>
      <c r="D112" s="172"/>
      <c r="E112" s="172"/>
      <c r="F112" s="167">
        <v>42370</v>
      </c>
      <c r="G112" s="167">
        <v>42399</v>
      </c>
      <c r="H112" s="168">
        <f t="shared" si="64"/>
        <v>2229.92</v>
      </c>
      <c r="I112" s="169">
        <f>'BANCO DADOS-CUSTO TOTAL'!Y139</f>
        <v>2717.9</v>
      </c>
      <c r="J112" s="170">
        <f t="shared" si="65"/>
        <v>30</v>
      </c>
      <c r="K112" s="170">
        <f t="shared" si="66"/>
        <v>1</v>
      </c>
      <c r="L112" s="170">
        <f t="shared" si="67"/>
        <v>0</v>
      </c>
      <c r="M112" s="171">
        <f t="shared" si="68"/>
        <v>185.75233600000001</v>
      </c>
      <c r="N112" s="171">
        <f t="shared" si="69"/>
        <v>226.40107</v>
      </c>
      <c r="O112" s="171">
        <f t="shared" si="70"/>
        <v>40.64873399999999</v>
      </c>
      <c r="P112" s="167">
        <f t="shared" si="104"/>
        <v>42370</v>
      </c>
      <c r="Q112" s="167">
        <f t="shared" si="105"/>
        <v>42399</v>
      </c>
      <c r="R112" s="168">
        <f t="shared" si="71"/>
        <v>2229.92</v>
      </c>
      <c r="S112" s="169">
        <f t="shared" si="72"/>
        <v>2717.9</v>
      </c>
      <c r="T112" s="170">
        <f t="shared" si="73"/>
        <v>30</v>
      </c>
      <c r="U112" s="170">
        <f t="shared" si="74"/>
        <v>1</v>
      </c>
      <c r="V112" s="170">
        <f t="shared" si="75"/>
        <v>0</v>
      </c>
      <c r="W112" s="171">
        <f t="shared" si="76"/>
        <v>247.74411200000003</v>
      </c>
      <c r="X112" s="171">
        <f t="shared" si="77"/>
        <v>301.95869000000005</v>
      </c>
      <c r="Y112" s="171">
        <f t="shared" si="78"/>
        <v>54.214578000000017</v>
      </c>
      <c r="Z112" s="167">
        <f t="shared" si="106"/>
        <v>42370</v>
      </c>
      <c r="AA112" s="167">
        <f t="shared" si="107"/>
        <v>42399</v>
      </c>
      <c r="AB112" s="168">
        <f t="shared" si="79"/>
        <v>2229.92</v>
      </c>
      <c r="AC112" s="169">
        <f t="shared" si="80"/>
        <v>2717.9</v>
      </c>
      <c r="AD112" s="170">
        <f t="shared" si="81"/>
        <v>30</v>
      </c>
      <c r="AE112" s="170">
        <f t="shared" si="82"/>
        <v>1</v>
      </c>
      <c r="AF112" s="170">
        <f t="shared" si="83"/>
        <v>0</v>
      </c>
      <c r="AG112" s="171">
        <f t="shared" si="84"/>
        <v>95.886559999999989</v>
      </c>
      <c r="AH112" s="171">
        <f t="shared" si="85"/>
        <v>116.86969999999999</v>
      </c>
      <c r="AI112" s="171">
        <f t="shared" si="86"/>
        <v>20.983140000000006</v>
      </c>
      <c r="AJ112" s="167">
        <f t="shared" si="108"/>
        <v>42370</v>
      </c>
      <c r="AK112" s="167">
        <f t="shared" si="109"/>
        <v>42399</v>
      </c>
      <c r="AL112" s="168">
        <f t="shared" si="87"/>
        <v>2229.92</v>
      </c>
      <c r="AM112" s="169">
        <f t="shared" si="88"/>
        <v>2717.9</v>
      </c>
      <c r="AN112" s="170">
        <f t="shared" si="89"/>
        <v>30</v>
      </c>
      <c r="AO112" s="170">
        <f t="shared" si="90"/>
        <v>1</v>
      </c>
      <c r="AP112" s="170">
        <f t="shared" si="91"/>
        <v>0</v>
      </c>
      <c r="AQ112" s="171">
        <f t="shared" si="92"/>
        <v>68.356859647999997</v>
      </c>
      <c r="AR112" s="171">
        <f t="shared" si="93"/>
        <v>83.315593759999999</v>
      </c>
      <c r="AS112" s="171">
        <f t="shared" si="94"/>
        <v>14.958734112000002</v>
      </c>
      <c r="AT112" s="167">
        <f t="shared" si="110"/>
        <v>42370</v>
      </c>
      <c r="AU112" s="167">
        <f t="shared" si="111"/>
        <v>42399</v>
      </c>
      <c r="AV112" s="168">
        <f t="shared" si="95"/>
        <v>2229.92</v>
      </c>
      <c r="AW112" s="169">
        <f t="shared" si="96"/>
        <v>2717.9</v>
      </c>
      <c r="AX112" s="170">
        <f t="shared" si="97"/>
        <v>30</v>
      </c>
      <c r="AY112" s="170">
        <f t="shared" si="98"/>
        <v>1</v>
      </c>
      <c r="AZ112" s="170">
        <f t="shared" si="99"/>
        <v>0</v>
      </c>
      <c r="BA112" s="171">
        <f t="shared" si="100"/>
        <v>91.169833216000001</v>
      </c>
      <c r="BB112" s="171">
        <f t="shared" si="101"/>
        <v>111.12079792</v>
      </c>
      <c r="BC112" s="171">
        <f t="shared" si="102"/>
        <v>19.950964704</v>
      </c>
      <c r="BD112" s="171">
        <f t="shared" si="103"/>
        <v>150.756150816</v>
      </c>
    </row>
    <row r="113" spans="1:56">
      <c r="A113" s="587" t="str">
        <f>'BANCO DADOS-CUSTO TOTAL'!C141</f>
        <v>Uberlândia</v>
      </c>
      <c r="B113" s="588" t="str">
        <f>'BANCO DADOS-CUSTO TOTAL'!H141</f>
        <v>BELTRANO 12436</v>
      </c>
      <c r="C113" s="588" t="str">
        <f>'BANCO DADOS-CUSTO TOTAL'!I141</f>
        <v>VIGILANTE ARMADO - 12X36 DIURNO</v>
      </c>
      <c r="D113" s="172"/>
      <c r="E113" s="172"/>
      <c r="F113" s="167">
        <v>42370</v>
      </c>
      <c r="G113" s="167">
        <v>42399</v>
      </c>
      <c r="H113" s="168">
        <f t="shared" ref="H113:H123" si="112">IF(C113="VIGILANTE ARMADO - 220 H",2035.8,IF(C113="VIGILANTE ARMADO - 12X36 DIURNO",1869.08,IF(C113="VIGILANTE ARMADO - 12X36 NOTURNO",2229.92)))</f>
        <v>1869.08</v>
      </c>
      <c r="I113" s="169">
        <f>'BANCO DADOS-CUSTO TOTAL'!Y141</f>
        <v>2277.88</v>
      </c>
      <c r="J113" s="170">
        <f t="shared" ref="J113:J123" si="113">IF(OR(F113="",G113=""),0,DAYS360(F113,G113,TRUE)+1)</f>
        <v>30</v>
      </c>
      <c r="K113" s="170">
        <f t="shared" ref="K113:K123" si="114">INT(J113/30)</f>
        <v>1</v>
      </c>
      <c r="L113" s="170">
        <f t="shared" ref="L113:L123" si="115">J113-K113*30</f>
        <v>0</v>
      </c>
      <c r="M113" s="171">
        <f t="shared" ref="M113:M123" si="116">$O$6*H113*K113+IF(L113&gt;14,H113*$O$6,0)</f>
        <v>155.69436399999998</v>
      </c>
      <c r="N113" s="171">
        <f t="shared" ref="N113:N123" si="117">I113*K113*$O$6+IF(L113&gt;14,I113*$O$6,0)</f>
        <v>189.74740400000002</v>
      </c>
      <c r="O113" s="171">
        <f t="shared" ref="O113:O123" si="118">N113-M113</f>
        <v>34.053040000000038</v>
      </c>
      <c r="P113" s="167">
        <f t="shared" si="104"/>
        <v>42370</v>
      </c>
      <c r="Q113" s="167">
        <f t="shared" si="105"/>
        <v>42399</v>
      </c>
      <c r="R113" s="168">
        <f t="shared" ref="R113:R123" si="119">H113</f>
        <v>1869.08</v>
      </c>
      <c r="S113" s="169">
        <f t="shared" ref="S113:S123" si="120">I113</f>
        <v>2277.88</v>
      </c>
      <c r="T113" s="170">
        <f t="shared" ref="T113:T123" si="121">IF(OR(P113="",Q113=""),0,DAYS360(P113,Q113,TRUE)+1)</f>
        <v>30</v>
      </c>
      <c r="U113" s="170">
        <f t="shared" ref="U113:U123" si="122">INT(T113/30)</f>
        <v>1</v>
      </c>
      <c r="V113" s="170">
        <f t="shared" ref="V113:V123" si="123">T113-U113*30</f>
        <v>0</v>
      </c>
      <c r="W113" s="171">
        <f t="shared" ref="W113:W123" si="124">$Y$6*R113*U113+IF(V113&gt;14,R113*$Y$6,0)</f>
        <v>207.654788</v>
      </c>
      <c r="X113" s="171">
        <f t="shared" ref="X113:X123" si="125">S113*U113*$Y$6+IF(V113&gt;14,S113*$Y$6,0)</f>
        <v>253.07246800000001</v>
      </c>
      <c r="Y113" s="171">
        <f t="shared" ref="Y113:Y123" si="126">X113-W113</f>
        <v>45.417680000000018</v>
      </c>
      <c r="Z113" s="167">
        <f t="shared" si="106"/>
        <v>42370</v>
      </c>
      <c r="AA113" s="167">
        <f t="shared" si="107"/>
        <v>42399</v>
      </c>
      <c r="AB113" s="168">
        <f t="shared" ref="AB113:AB123" si="127">R113</f>
        <v>1869.08</v>
      </c>
      <c r="AC113" s="169">
        <f t="shared" ref="AC113:AC123" si="128">S113</f>
        <v>2277.88</v>
      </c>
      <c r="AD113" s="170">
        <f t="shared" ref="AD113:AD123" si="129">IF(OR(Z113="",AA113=""),0,DAYS360(Z113,AA113,TRUE)+1)</f>
        <v>30</v>
      </c>
      <c r="AE113" s="170">
        <f t="shared" ref="AE113:AE123" si="130">INT(AD113/30)</f>
        <v>1</v>
      </c>
      <c r="AF113" s="170">
        <f t="shared" ref="AF113:AF123" si="131">AD113-AE113*30</f>
        <v>0</v>
      </c>
      <c r="AG113" s="171">
        <f t="shared" ref="AG113:AG123" si="132">$AI$6*AB113*AE113+IF(AF113&gt;14,AB113*$AI$6,0)</f>
        <v>80.370439999999988</v>
      </c>
      <c r="AH113" s="171">
        <f t="shared" ref="AH113:AH123" si="133">AC113*AE113*$AI$6+IF(AF113&gt;14,AC113*$AI$6,0)</f>
        <v>97.94883999999999</v>
      </c>
      <c r="AI113" s="171">
        <f t="shared" ref="AI113:AI123" si="134">AH113-AG113</f>
        <v>17.578400000000002</v>
      </c>
      <c r="AJ113" s="167">
        <f t="shared" si="108"/>
        <v>42370</v>
      </c>
      <c r="AK113" s="167">
        <f t="shared" si="109"/>
        <v>42399</v>
      </c>
      <c r="AL113" s="168">
        <f t="shared" ref="AL113:AL123" si="135">AB113</f>
        <v>1869.08</v>
      </c>
      <c r="AM113" s="169">
        <f t="shared" ref="AM113:AM123" si="136">AC113</f>
        <v>2277.88</v>
      </c>
      <c r="AN113" s="170">
        <f t="shared" ref="AN113:AN123" si="137">IF(OR(AJ113="",AK113=""),0,DAYS360(AJ113,AK113,TRUE)+1)</f>
        <v>30</v>
      </c>
      <c r="AO113" s="170">
        <f t="shared" ref="AO113:AO123" si="138">INT(AN113/30)</f>
        <v>1</v>
      </c>
      <c r="AP113" s="170">
        <f t="shared" ref="AP113:AP123" si="139">AN113-AO113*30</f>
        <v>0</v>
      </c>
      <c r="AQ113" s="171">
        <f t="shared" ref="AQ113:AQ123" si="140">$AS$6*AL113*AO113+IF(AP113&gt;14,AL113*$AS$6,0)</f>
        <v>57.295525951999991</v>
      </c>
      <c r="AR113" s="171">
        <f t="shared" ref="AR113:AR123" si="141">AM113*AO113*$AS$6+IF(AP113&gt;14,AM113*$AS$6,0)</f>
        <v>69.827044672</v>
      </c>
      <c r="AS113" s="171">
        <f t="shared" ref="AS113:AS123" si="142">AR113-AQ113</f>
        <v>12.531518720000008</v>
      </c>
      <c r="AT113" s="167">
        <f t="shared" si="110"/>
        <v>42370</v>
      </c>
      <c r="AU113" s="167">
        <f t="shared" si="111"/>
        <v>42399</v>
      </c>
      <c r="AV113" s="168">
        <f t="shared" ref="AV113:AV123" si="143">AL113</f>
        <v>1869.08</v>
      </c>
      <c r="AW113" s="169">
        <f t="shared" ref="AW113:AW123" si="144">AM113</f>
        <v>2277.88</v>
      </c>
      <c r="AX113" s="170">
        <f t="shared" ref="AX113:AX123" si="145">IF(OR(AT113="",AU113=""),0,DAYS360(AT113,AU113,TRUE)+1)</f>
        <v>30</v>
      </c>
      <c r="AY113" s="170">
        <f t="shared" ref="AY113:AY123" si="146">INT(AX113/30)</f>
        <v>1</v>
      </c>
      <c r="AZ113" s="170">
        <f t="shared" ref="AZ113:AZ123" si="147">AX113-AY113*30</f>
        <v>0</v>
      </c>
      <c r="BA113" s="171">
        <f t="shared" ref="BA113:BA123" si="148">$BC$6*AV113*AY113+IF(AZ113&gt;14,AV113*$BC$6,0)</f>
        <v>76.416961983999997</v>
      </c>
      <c r="BB113" s="171">
        <f t="shared" ref="BB113:BB123" si="149">AW113*AY113*$BC$6+IF(AZ113&gt;14,AW113*$BC$6,0)</f>
        <v>93.130668224000004</v>
      </c>
      <c r="BC113" s="171">
        <f t="shared" ref="BC113:BC123" si="150">BB113-BA113</f>
        <v>16.713706240000008</v>
      </c>
      <c r="BD113" s="171">
        <f t="shared" ref="BD113:BD123" si="151">BC113+AS113+AI113+Y113+O113</f>
        <v>126.29434496000007</v>
      </c>
    </row>
    <row r="114" spans="1:56">
      <c r="A114" s="587" t="str">
        <f>'BANCO DADOS-CUSTO TOTAL'!C142</f>
        <v>Uberlândia</v>
      </c>
      <c r="B114" s="588" t="str">
        <f>'BANCO DADOS-CUSTO TOTAL'!H142</f>
        <v>BELTRANO 12437</v>
      </c>
      <c r="C114" s="588" t="str">
        <f>'BANCO DADOS-CUSTO TOTAL'!I142</f>
        <v>VIGILANTE ARMADO - 12X36 DIURNO</v>
      </c>
      <c r="D114" s="172"/>
      <c r="E114" s="172"/>
      <c r="F114" s="167">
        <v>42370</v>
      </c>
      <c r="G114" s="167">
        <v>42399</v>
      </c>
      <c r="H114" s="168">
        <f t="shared" si="112"/>
        <v>1869.08</v>
      </c>
      <c r="I114" s="169">
        <f>'BANCO DADOS-CUSTO TOTAL'!Y142</f>
        <v>2277.88</v>
      </c>
      <c r="J114" s="170">
        <f t="shared" si="113"/>
        <v>30</v>
      </c>
      <c r="K114" s="170">
        <f t="shared" si="114"/>
        <v>1</v>
      </c>
      <c r="L114" s="170">
        <f t="shared" si="115"/>
        <v>0</v>
      </c>
      <c r="M114" s="171">
        <f t="shared" si="116"/>
        <v>155.69436399999998</v>
      </c>
      <c r="N114" s="171">
        <f t="shared" si="117"/>
        <v>189.74740400000002</v>
      </c>
      <c r="O114" s="171">
        <f t="shared" si="118"/>
        <v>34.053040000000038</v>
      </c>
      <c r="P114" s="167">
        <f t="shared" si="104"/>
        <v>42370</v>
      </c>
      <c r="Q114" s="167">
        <f t="shared" si="105"/>
        <v>42399</v>
      </c>
      <c r="R114" s="168">
        <f t="shared" si="119"/>
        <v>1869.08</v>
      </c>
      <c r="S114" s="169">
        <f t="shared" si="120"/>
        <v>2277.88</v>
      </c>
      <c r="T114" s="170">
        <f t="shared" si="121"/>
        <v>30</v>
      </c>
      <c r="U114" s="170">
        <f t="shared" si="122"/>
        <v>1</v>
      </c>
      <c r="V114" s="170">
        <f t="shared" si="123"/>
        <v>0</v>
      </c>
      <c r="W114" s="171">
        <f t="shared" si="124"/>
        <v>207.654788</v>
      </c>
      <c r="X114" s="171">
        <f t="shared" si="125"/>
        <v>253.07246800000001</v>
      </c>
      <c r="Y114" s="171">
        <f t="shared" si="126"/>
        <v>45.417680000000018</v>
      </c>
      <c r="Z114" s="167">
        <f t="shared" si="106"/>
        <v>42370</v>
      </c>
      <c r="AA114" s="167">
        <f t="shared" si="107"/>
        <v>42399</v>
      </c>
      <c r="AB114" s="168">
        <f t="shared" si="127"/>
        <v>1869.08</v>
      </c>
      <c r="AC114" s="169">
        <f t="shared" si="128"/>
        <v>2277.88</v>
      </c>
      <c r="AD114" s="170">
        <f t="shared" si="129"/>
        <v>30</v>
      </c>
      <c r="AE114" s="170">
        <f t="shared" si="130"/>
        <v>1</v>
      </c>
      <c r="AF114" s="170">
        <f t="shared" si="131"/>
        <v>0</v>
      </c>
      <c r="AG114" s="171">
        <f t="shared" si="132"/>
        <v>80.370439999999988</v>
      </c>
      <c r="AH114" s="171">
        <f t="shared" si="133"/>
        <v>97.94883999999999</v>
      </c>
      <c r="AI114" s="171">
        <f t="shared" si="134"/>
        <v>17.578400000000002</v>
      </c>
      <c r="AJ114" s="167">
        <f t="shared" si="108"/>
        <v>42370</v>
      </c>
      <c r="AK114" s="167">
        <f t="shared" si="109"/>
        <v>42399</v>
      </c>
      <c r="AL114" s="168">
        <f t="shared" si="135"/>
        <v>1869.08</v>
      </c>
      <c r="AM114" s="169">
        <f t="shared" si="136"/>
        <v>2277.88</v>
      </c>
      <c r="AN114" s="170">
        <f t="shared" si="137"/>
        <v>30</v>
      </c>
      <c r="AO114" s="170">
        <f t="shared" si="138"/>
        <v>1</v>
      </c>
      <c r="AP114" s="170">
        <f t="shared" si="139"/>
        <v>0</v>
      </c>
      <c r="AQ114" s="171">
        <f t="shared" si="140"/>
        <v>57.295525951999991</v>
      </c>
      <c r="AR114" s="171">
        <f t="shared" si="141"/>
        <v>69.827044672</v>
      </c>
      <c r="AS114" s="171">
        <f t="shared" si="142"/>
        <v>12.531518720000008</v>
      </c>
      <c r="AT114" s="167">
        <f t="shared" si="110"/>
        <v>42370</v>
      </c>
      <c r="AU114" s="167">
        <f t="shared" si="111"/>
        <v>42399</v>
      </c>
      <c r="AV114" s="168">
        <f t="shared" si="143"/>
        <v>1869.08</v>
      </c>
      <c r="AW114" s="169">
        <f t="shared" si="144"/>
        <v>2277.88</v>
      </c>
      <c r="AX114" s="170">
        <f t="shared" si="145"/>
        <v>30</v>
      </c>
      <c r="AY114" s="170">
        <f t="shared" si="146"/>
        <v>1</v>
      </c>
      <c r="AZ114" s="170">
        <f t="shared" si="147"/>
        <v>0</v>
      </c>
      <c r="BA114" s="171">
        <f t="shared" si="148"/>
        <v>76.416961983999997</v>
      </c>
      <c r="BB114" s="171">
        <f t="shared" si="149"/>
        <v>93.130668224000004</v>
      </c>
      <c r="BC114" s="171">
        <f t="shared" si="150"/>
        <v>16.713706240000008</v>
      </c>
      <c r="BD114" s="171">
        <f t="shared" si="151"/>
        <v>126.29434496000007</v>
      </c>
    </row>
    <row r="115" spans="1:56">
      <c r="A115" s="587" t="str">
        <f>'BANCO DADOS-CUSTO TOTAL'!C143</f>
        <v>Uberlândia</v>
      </c>
      <c r="B115" s="588" t="str">
        <f>'BANCO DADOS-CUSTO TOTAL'!H143</f>
        <v>BELTRANO 12438</v>
      </c>
      <c r="C115" s="588" t="str">
        <f>'BANCO DADOS-CUSTO TOTAL'!I143</f>
        <v>VIGILANTE ARMADO - 12X36 NOTURNO</v>
      </c>
      <c r="D115" s="172"/>
      <c r="E115" s="172"/>
      <c r="F115" s="167">
        <v>42370</v>
      </c>
      <c r="G115" s="167">
        <v>42399</v>
      </c>
      <c r="H115" s="168">
        <f t="shared" si="112"/>
        <v>2229.92</v>
      </c>
      <c r="I115" s="169">
        <f>'BANCO DADOS-CUSTO TOTAL'!Y143</f>
        <v>2717.9</v>
      </c>
      <c r="J115" s="170">
        <f t="shared" si="113"/>
        <v>30</v>
      </c>
      <c r="K115" s="170">
        <f t="shared" si="114"/>
        <v>1</v>
      </c>
      <c r="L115" s="170">
        <f t="shared" si="115"/>
        <v>0</v>
      </c>
      <c r="M115" s="171">
        <f t="shared" si="116"/>
        <v>185.75233600000001</v>
      </c>
      <c r="N115" s="171">
        <f t="shared" si="117"/>
        <v>226.40107</v>
      </c>
      <c r="O115" s="171">
        <f t="shared" si="118"/>
        <v>40.64873399999999</v>
      </c>
      <c r="P115" s="167">
        <f t="shared" si="104"/>
        <v>42370</v>
      </c>
      <c r="Q115" s="167">
        <f t="shared" si="105"/>
        <v>42399</v>
      </c>
      <c r="R115" s="168">
        <f t="shared" si="119"/>
        <v>2229.92</v>
      </c>
      <c r="S115" s="169">
        <f t="shared" si="120"/>
        <v>2717.9</v>
      </c>
      <c r="T115" s="170">
        <f t="shared" si="121"/>
        <v>30</v>
      </c>
      <c r="U115" s="170">
        <f t="shared" si="122"/>
        <v>1</v>
      </c>
      <c r="V115" s="170">
        <f t="shared" si="123"/>
        <v>0</v>
      </c>
      <c r="W115" s="171">
        <f t="shared" si="124"/>
        <v>247.74411200000003</v>
      </c>
      <c r="X115" s="171">
        <f t="shared" si="125"/>
        <v>301.95869000000005</v>
      </c>
      <c r="Y115" s="171">
        <f t="shared" si="126"/>
        <v>54.214578000000017</v>
      </c>
      <c r="Z115" s="167">
        <f t="shared" si="106"/>
        <v>42370</v>
      </c>
      <c r="AA115" s="167">
        <f t="shared" si="107"/>
        <v>42399</v>
      </c>
      <c r="AB115" s="168">
        <f t="shared" si="127"/>
        <v>2229.92</v>
      </c>
      <c r="AC115" s="169">
        <f t="shared" si="128"/>
        <v>2717.9</v>
      </c>
      <c r="AD115" s="170">
        <f t="shared" si="129"/>
        <v>30</v>
      </c>
      <c r="AE115" s="170">
        <f t="shared" si="130"/>
        <v>1</v>
      </c>
      <c r="AF115" s="170">
        <f t="shared" si="131"/>
        <v>0</v>
      </c>
      <c r="AG115" s="171">
        <f t="shared" si="132"/>
        <v>95.886559999999989</v>
      </c>
      <c r="AH115" s="171">
        <f t="shared" si="133"/>
        <v>116.86969999999999</v>
      </c>
      <c r="AI115" s="171">
        <f t="shared" si="134"/>
        <v>20.983140000000006</v>
      </c>
      <c r="AJ115" s="167">
        <f t="shared" si="108"/>
        <v>42370</v>
      </c>
      <c r="AK115" s="167">
        <f t="shared" si="109"/>
        <v>42399</v>
      </c>
      <c r="AL115" s="168">
        <f t="shared" si="135"/>
        <v>2229.92</v>
      </c>
      <c r="AM115" s="169">
        <f t="shared" si="136"/>
        <v>2717.9</v>
      </c>
      <c r="AN115" s="170">
        <f t="shared" si="137"/>
        <v>30</v>
      </c>
      <c r="AO115" s="170">
        <f t="shared" si="138"/>
        <v>1</v>
      </c>
      <c r="AP115" s="170">
        <f t="shared" si="139"/>
        <v>0</v>
      </c>
      <c r="AQ115" s="171">
        <f t="shared" si="140"/>
        <v>68.356859647999997</v>
      </c>
      <c r="AR115" s="171">
        <f t="shared" si="141"/>
        <v>83.315593759999999</v>
      </c>
      <c r="AS115" s="171">
        <f t="shared" si="142"/>
        <v>14.958734112000002</v>
      </c>
      <c r="AT115" s="167">
        <f t="shared" si="110"/>
        <v>42370</v>
      </c>
      <c r="AU115" s="167">
        <f t="shared" si="111"/>
        <v>42399</v>
      </c>
      <c r="AV115" s="168">
        <f t="shared" si="143"/>
        <v>2229.92</v>
      </c>
      <c r="AW115" s="169">
        <f t="shared" si="144"/>
        <v>2717.9</v>
      </c>
      <c r="AX115" s="170">
        <f t="shared" si="145"/>
        <v>30</v>
      </c>
      <c r="AY115" s="170">
        <f t="shared" si="146"/>
        <v>1</v>
      </c>
      <c r="AZ115" s="170">
        <f t="shared" si="147"/>
        <v>0</v>
      </c>
      <c r="BA115" s="171">
        <f t="shared" si="148"/>
        <v>91.169833216000001</v>
      </c>
      <c r="BB115" s="171">
        <f t="shared" si="149"/>
        <v>111.12079792</v>
      </c>
      <c r="BC115" s="171">
        <f t="shared" si="150"/>
        <v>19.950964704</v>
      </c>
      <c r="BD115" s="171">
        <f t="shared" si="151"/>
        <v>150.756150816</v>
      </c>
    </row>
    <row r="116" spans="1:56">
      <c r="A116" s="587" t="str">
        <f>'BANCO DADOS-CUSTO TOTAL'!C144</f>
        <v>Uberlândia</v>
      </c>
      <c r="B116" s="588" t="str">
        <f>'BANCO DADOS-CUSTO TOTAL'!H144</f>
        <v>BELTRANO 12439</v>
      </c>
      <c r="C116" s="588" t="str">
        <f>'BANCO DADOS-CUSTO TOTAL'!I144</f>
        <v>VIGILANTE ARMADO - 12X36 NOTURNO</v>
      </c>
      <c r="D116" s="172"/>
      <c r="E116" s="172"/>
      <c r="F116" s="167">
        <v>42370</v>
      </c>
      <c r="G116" s="167">
        <v>42399</v>
      </c>
      <c r="H116" s="168">
        <f t="shared" si="112"/>
        <v>2229.92</v>
      </c>
      <c r="I116" s="169">
        <f>'BANCO DADOS-CUSTO TOTAL'!Y144</f>
        <v>2717.9</v>
      </c>
      <c r="J116" s="170">
        <f t="shared" si="113"/>
        <v>30</v>
      </c>
      <c r="K116" s="170">
        <f t="shared" si="114"/>
        <v>1</v>
      </c>
      <c r="L116" s="170">
        <f t="shared" si="115"/>
        <v>0</v>
      </c>
      <c r="M116" s="171">
        <f t="shared" si="116"/>
        <v>185.75233600000001</v>
      </c>
      <c r="N116" s="171">
        <f t="shared" si="117"/>
        <v>226.40107</v>
      </c>
      <c r="O116" s="171">
        <f t="shared" si="118"/>
        <v>40.64873399999999</v>
      </c>
      <c r="P116" s="167">
        <f t="shared" si="104"/>
        <v>42370</v>
      </c>
      <c r="Q116" s="167">
        <f t="shared" si="105"/>
        <v>42399</v>
      </c>
      <c r="R116" s="168">
        <f t="shared" si="119"/>
        <v>2229.92</v>
      </c>
      <c r="S116" s="169">
        <f t="shared" si="120"/>
        <v>2717.9</v>
      </c>
      <c r="T116" s="170">
        <f t="shared" si="121"/>
        <v>30</v>
      </c>
      <c r="U116" s="170">
        <f t="shared" si="122"/>
        <v>1</v>
      </c>
      <c r="V116" s="170">
        <f t="shared" si="123"/>
        <v>0</v>
      </c>
      <c r="W116" s="171">
        <f t="shared" si="124"/>
        <v>247.74411200000003</v>
      </c>
      <c r="X116" s="171">
        <f t="shared" si="125"/>
        <v>301.95869000000005</v>
      </c>
      <c r="Y116" s="171">
        <f t="shared" si="126"/>
        <v>54.214578000000017</v>
      </c>
      <c r="Z116" s="167">
        <f t="shared" si="106"/>
        <v>42370</v>
      </c>
      <c r="AA116" s="167">
        <f t="shared" si="107"/>
        <v>42399</v>
      </c>
      <c r="AB116" s="168">
        <f t="shared" si="127"/>
        <v>2229.92</v>
      </c>
      <c r="AC116" s="169">
        <f t="shared" si="128"/>
        <v>2717.9</v>
      </c>
      <c r="AD116" s="170">
        <f t="shared" si="129"/>
        <v>30</v>
      </c>
      <c r="AE116" s="170">
        <f t="shared" si="130"/>
        <v>1</v>
      </c>
      <c r="AF116" s="170">
        <f t="shared" si="131"/>
        <v>0</v>
      </c>
      <c r="AG116" s="171">
        <f t="shared" si="132"/>
        <v>95.886559999999989</v>
      </c>
      <c r="AH116" s="171">
        <f t="shared" si="133"/>
        <v>116.86969999999999</v>
      </c>
      <c r="AI116" s="171">
        <f t="shared" si="134"/>
        <v>20.983140000000006</v>
      </c>
      <c r="AJ116" s="167">
        <f t="shared" si="108"/>
        <v>42370</v>
      </c>
      <c r="AK116" s="167">
        <f t="shared" si="109"/>
        <v>42399</v>
      </c>
      <c r="AL116" s="168">
        <f t="shared" si="135"/>
        <v>2229.92</v>
      </c>
      <c r="AM116" s="169">
        <f t="shared" si="136"/>
        <v>2717.9</v>
      </c>
      <c r="AN116" s="170">
        <f t="shared" si="137"/>
        <v>30</v>
      </c>
      <c r="AO116" s="170">
        <f t="shared" si="138"/>
        <v>1</v>
      </c>
      <c r="AP116" s="170">
        <f t="shared" si="139"/>
        <v>0</v>
      </c>
      <c r="AQ116" s="171">
        <f t="shared" si="140"/>
        <v>68.356859647999997</v>
      </c>
      <c r="AR116" s="171">
        <f t="shared" si="141"/>
        <v>83.315593759999999</v>
      </c>
      <c r="AS116" s="171">
        <f t="shared" si="142"/>
        <v>14.958734112000002</v>
      </c>
      <c r="AT116" s="167">
        <f t="shared" si="110"/>
        <v>42370</v>
      </c>
      <c r="AU116" s="167">
        <f t="shared" si="111"/>
        <v>42399</v>
      </c>
      <c r="AV116" s="168">
        <f t="shared" si="143"/>
        <v>2229.92</v>
      </c>
      <c r="AW116" s="169">
        <f t="shared" si="144"/>
        <v>2717.9</v>
      </c>
      <c r="AX116" s="170">
        <f t="shared" si="145"/>
        <v>30</v>
      </c>
      <c r="AY116" s="170">
        <f t="shared" si="146"/>
        <v>1</v>
      </c>
      <c r="AZ116" s="170">
        <f t="shared" si="147"/>
        <v>0</v>
      </c>
      <c r="BA116" s="171">
        <f t="shared" si="148"/>
        <v>91.169833216000001</v>
      </c>
      <c r="BB116" s="171">
        <f t="shared" si="149"/>
        <v>111.12079792</v>
      </c>
      <c r="BC116" s="171">
        <f t="shared" si="150"/>
        <v>19.950964704</v>
      </c>
      <c r="BD116" s="171">
        <f t="shared" si="151"/>
        <v>150.756150816</v>
      </c>
    </row>
    <row r="117" spans="1:56">
      <c r="A117" s="587" t="str">
        <f>'BANCO DADOS-CUSTO TOTAL'!C145</f>
        <v>Uberlândia</v>
      </c>
      <c r="B117" s="588" t="str">
        <f>'BANCO DADOS-CUSTO TOTAL'!H145</f>
        <v>BELTRANO 12440</v>
      </c>
      <c r="C117" s="588" t="str">
        <f>'BANCO DADOS-CUSTO TOTAL'!I145</f>
        <v>VIGILANTE ARMADO - 12X36 NOTURNO</v>
      </c>
      <c r="D117" s="172"/>
      <c r="E117" s="172"/>
      <c r="F117" s="167">
        <v>42370</v>
      </c>
      <c r="G117" s="167">
        <v>42399</v>
      </c>
      <c r="H117" s="168">
        <f t="shared" si="112"/>
        <v>2229.92</v>
      </c>
      <c r="I117" s="169">
        <f>'BANCO DADOS-CUSTO TOTAL'!Y145</f>
        <v>2717.9</v>
      </c>
      <c r="J117" s="170">
        <f t="shared" si="113"/>
        <v>30</v>
      </c>
      <c r="K117" s="170">
        <f t="shared" si="114"/>
        <v>1</v>
      </c>
      <c r="L117" s="170">
        <f t="shared" si="115"/>
        <v>0</v>
      </c>
      <c r="M117" s="171">
        <f t="shared" si="116"/>
        <v>185.75233600000001</v>
      </c>
      <c r="N117" s="171">
        <f t="shared" si="117"/>
        <v>226.40107</v>
      </c>
      <c r="O117" s="171">
        <f t="shared" si="118"/>
        <v>40.64873399999999</v>
      </c>
      <c r="P117" s="167">
        <f t="shared" si="104"/>
        <v>42370</v>
      </c>
      <c r="Q117" s="167">
        <f t="shared" si="105"/>
        <v>42399</v>
      </c>
      <c r="R117" s="168">
        <f t="shared" si="119"/>
        <v>2229.92</v>
      </c>
      <c r="S117" s="169">
        <f t="shared" si="120"/>
        <v>2717.9</v>
      </c>
      <c r="T117" s="170">
        <f t="shared" si="121"/>
        <v>30</v>
      </c>
      <c r="U117" s="170">
        <f t="shared" si="122"/>
        <v>1</v>
      </c>
      <c r="V117" s="170">
        <f t="shared" si="123"/>
        <v>0</v>
      </c>
      <c r="W117" s="171">
        <f t="shared" si="124"/>
        <v>247.74411200000003</v>
      </c>
      <c r="X117" s="171">
        <f t="shared" si="125"/>
        <v>301.95869000000005</v>
      </c>
      <c r="Y117" s="171">
        <f t="shared" si="126"/>
        <v>54.214578000000017</v>
      </c>
      <c r="Z117" s="167">
        <f t="shared" si="106"/>
        <v>42370</v>
      </c>
      <c r="AA117" s="167">
        <f t="shared" si="107"/>
        <v>42399</v>
      </c>
      <c r="AB117" s="168">
        <f t="shared" si="127"/>
        <v>2229.92</v>
      </c>
      <c r="AC117" s="169">
        <f t="shared" si="128"/>
        <v>2717.9</v>
      </c>
      <c r="AD117" s="170">
        <f t="shared" si="129"/>
        <v>30</v>
      </c>
      <c r="AE117" s="170">
        <f t="shared" si="130"/>
        <v>1</v>
      </c>
      <c r="AF117" s="170">
        <f t="shared" si="131"/>
        <v>0</v>
      </c>
      <c r="AG117" s="171">
        <f t="shared" si="132"/>
        <v>95.886559999999989</v>
      </c>
      <c r="AH117" s="171">
        <f t="shared" si="133"/>
        <v>116.86969999999999</v>
      </c>
      <c r="AI117" s="171">
        <f t="shared" si="134"/>
        <v>20.983140000000006</v>
      </c>
      <c r="AJ117" s="167">
        <f t="shared" si="108"/>
        <v>42370</v>
      </c>
      <c r="AK117" s="167">
        <f t="shared" si="109"/>
        <v>42399</v>
      </c>
      <c r="AL117" s="168">
        <f t="shared" si="135"/>
        <v>2229.92</v>
      </c>
      <c r="AM117" s="169">
        <f t="shared" si="136"/>
        <v>2717.9</v>
      </c>
      <c r="AN117" s="170">
        <f t="shared" si="137"/>
        <v>30</v>
      </c>
      <c r="AO117" s="170">
        <f t="shared" si="138"/>
        <v>1</v>
      </c>
      <c r="AP117" s="170">
        <f t="shared" si="139"/>
        <v>0</v>
      </c>
      <c r="AQ117" s="171">
        <f t="shared" si="140"/>
        <v>68.356859647999997</v>
      </c>
      <c r="AR117" s="171">
        <f t="shared" si="141"/>
        <v>83.315593759999999</v>
      </c>
      <c r="AS117" s="171">
        <f t="shared" si="142"/>
        <v>14.958734112000002</v>
      </c>
      <c r="AT117" s="167">
        <f t="shared" si="110"/>
        <v>42370</v>
      </c>
      <c r="AU117" s="167">
        <f t="shared" si="111"/>
        <v>42399</v>
      </c>
      <c r="AV117" s="168">
        <f t="shared" si="143"/>
        <v>2229.92</v>
      </c>
      <c r="AW117" s="169">
        <f t="shared" si="144"/>
        <v>2717.9</v>
      </c>
      <c r="AX117" s="170">
        <f t="shared" si="145"/>
        <v>30</v>
      </c>
      <c r="AY117" s="170">
        <f t="shared" si="146"/>
        <v>1</v>
      </c>
      <c r="AZ117" s="170">
        <f t="shared" si="147"/>
        <v>0</v>
      </c>
      <c r="BA117" s="171">
        <f t="shared" si="148"/>
        <v>91.169833216000001</v>
      </c>
      <c r="BB117" s="171">
        <f t="shared" si="149"/>
        <v>111.12079792</v>
      </c>
      <c r="BC117" s="171">
        <f t="shared" si="150"/>
        <v>19.950964704</v>
      </c>
      <c r="BD117" s="171">
        <f t="shared" si="151"/>
        <v>150.756150816</v>
      </c>
    </row>
    <row r="118" spans="1:56">
      <c r="A118" s="587" t="str">
        <f>'BANCO DADOS-CUSTO TOTAL'!C146</f>
        <v>Uberlândia</v>
      </c>
      <c r="B118" s="588" t="str">
        <f>'BANCO DADOS-CUSTO TOTAL'!H146</f>
        <v>BELTRANO 12441</v>
      </c>
      <c r="C118" s="588" t="str">
        <f>'BANCO DADOS-CUSTO TOTAL'!I146</f>
        <v>VIGILANTE ARMADO - 12X36 NOTURNO</v>
      </c>
      <c r="D118" s="172"/>
      <c r="E118" s="172"/>
      <c r="F118" s="167">
        <v>42370</v>
      </c>
      <c r="G118" s="167">
        <v>42399</v>
      </c>
      <c r="H118" s="168">
        <f t="shared" si="112"/>
        <v>2229.92</v>
      </c>
      <c r="I118" s="169">
        <f>'BANCO DADOS-CUSTO TOTAL'!Y146</f>
        <v>2717.9</v>
      </c>
      <c r="J118" s="170">
        <f t="shared" si="113"/>
        <v>30</v>
      </c>
      <c r="K118" s="170">
        <f t="shared" si="114"/>
        <v>1</v>
      </c>
      <c r="L118" s="170">
        <f t="shared" si="115"/>
        <v>0</v>
      </c>
      <c r="M118" s="171">
        <f t="shared" si="116"/>
        <v>185.75233600000001</v>
      </c>
      <c r="N118" s="171">
        <f t="shared" si="117"/>
        <v>226.40107</v>
      </c>
      <c r="O118" s="171">
        <f t="shared" si="118"/>
        <v>40.64873399999999</v>
      </c>
      <c r="P118" s="167">
        <f t="shared" si="104"/>
        <v>42370</v>
      </c>
      <c r="Q118" s="167">
        <f t="shared" si="105"/>
        <v>42399</v>
      </c>
      <c r="R118" s="168">
        <f t="shared" si="119"/>
        <v>2229.92</v>
      </c>
      <c r="S118" s="169">
        <f t="shared" si="120"/>
        <v>2717.9</v>
      </c>
      <c r="T118" s="170">
        <f t="shared" si="121"/>
        <v>30</v>
      </c>
      <c r="U118" s="170">
        <f t="shared" si="122"/>
        <v>1</v>
      </c>
      <c r="V118" s="170">
        <f t="shared" si="123"/>
        <v>0</v>
      </c>
      <c r="W118" s="171">
        <f t="shared" si="124"/>
        <v>247.74411200000003</v>
      </c>
      <c r="X118" s="171">
        <f t="shared" si="125"/>
        <v>301.95869000000005</v>
      </c>
      <c r="Y118" s="171">
        <f t="shared" si="126"/>
        <v>54.214578000000017</v>
      </c>
      <c r="Z118" s="167">
        <f t="shared" si="106"/>
        <v>42370</v>
      </c>
      <c r="AA118" s="167">
        <f t="shared" si="107"/>
        <v>42399</v>
      </c>
      <c r="AB118" s="168">
        <f t="shared" si="127"/>
        <v>2229.92</v>
      </c>
      <c r="AC118" s="169">
        <f t="shared" si="128"/>
        <v>2717.9</v>
      </c>
      <c r="AD118" s="170">
        <f t="shared" si="129"/>
        <v>30</v>
      </c>
      <c r="AE118" s="170">
        <f t="shared" si="130"/>
        <v>1</v>
      </c>
      <c r="AF118" s="170">
        <f t="shared" si="131"/>
        <v>0</v>
      </c>
      <c r="AG118" s="171">
        <f t="shared" si="132"/>
        <v>95.886559999999989</v>
      </c>
      <c r="AH118" s="171">
        <f t="shared" si="133"/>
        <v>116.86969999999999</v>
      </c>
      <c r="AI118" s="171">
        <f t="shared" si="134"/>
        <v>20.983140000000006</v>
      </c>
      <c r="AJ118" s="167">
        <f t="shared" si="108"/>
        <v>42370</v>
      </c>
      <c r="AK118" s="167">
        <f t="shared" si="109"/>
        <v>42399</v>
      </c>
      <c r="AL118" s="168">
        <f t="shared" si="135"/>
        <v>2229.92</v>
      </c>
      <c r="AM118" s="169">
        <f t="shared" si="136"/>
        <v>2717.9</v>
      </c>
      <c r="AN118" s="170">
        <f t="shared" si="137"/>
        <v>30</v>
      </c>
      <c r="AO118" s="170">
        <f t="shared" si="138"/>
        <v>1</v>
      </c>
      <c r="AP118" s="170">
        <f t="shared" si="139"/>
        <v>0</v>
      </c>
      <c r="AQ118" s="171">
        <f t="shared" si="140"/>
        <v>68.356859647999997</v>
      </c>
      <c r="AR118" s="171">
        <f t="shared" si="141"/>
        <v>83.315593759999999</v>
      </c>
      <c r="AS118" s="171">
        <f t="shared" si="142"/>
        <v>14.958734112000002</v>
      </c>
      <c r="AT118" s="167">
        <f t="shared" si="110"/>
        <v>42370</v>
      </c>
      <c r="AU118" s="167">
        <f t="shared" si="111"/>
        <v>42399</v>
      </c>
      <c r="AV118" s="168">
        <f t="shared" si="143"/>
        <v>2229.92</v>
      </c>
      <c r="AW118" s="169">
        <f t="shared" si="144"/>
        <v>2717.9</v>
      </c>
      <c r="AX118" s="170">
        <f t="shared" si="145"/>
        <v>30</v>
      </c>
      <c r="AY118" s="170">
        <f t="shared" si="146"/>
        <v>1</v>
      </c>
      <c r="AZ118" s="170">
        <f t="shared" si="147"/>
        <v>0</v>
      </c>
      <c r="BA118" s="171">
        <f t="shared" si="148"/>
        <v>91.169833216000001</v>
      </c>
      <c r="BB118" s="171">
        <f t="shared" si="149"/>
        <v>111.12079792</v>
      </c>
      <c r="BC118" s="171">
        <f t="shared" si="150"/>
        <v>19.950964704</v>
      </c>
      <c r="BD118" s="171">
        <f t="shared" si="151"/>
        <v>150.756150816</v>
      </c>
    </row>
    <row r="119" spans="1:56">
      <c r="A119" s="587" t="str">
        <f>'BANCO DADOS-CUSTO TOTAL'!C148</f>
        <v>Varginha</v>
      </c>
      <c r="B119" s="588" t="str">
        <f>'BANCO DADOS-CUSTO TOTAL'!H148</f>
        <v>BELTRANO 12442</v>
      </c>
      <c r="C119" s="588" t="str">
        <f>'BANCO DADOS-CUSTO TOTAL'!I148</f>
        <v>VIGILANTE ARMADO - 220 H</v>
      </c>
      <c r="D119" s="172"/>
      <c r="E119" s="172"/>
      <c r="F119" s="167">
        <v>42370</v>
      </c>
      <c r="G119" s="167">
        <v>42399</v>
      </c>
      <c r="H119" s="168">
        <f t="shared" si="112"/>
        <v>2035.8</v>
      </c>
      <c r="I119" s="169">
        <f>'BANCO DADOS-CUSTO TOTAL'!Y148</f>
        <v>2287.0300000000002</v>
      </c>
      <c r="J119" s="170">
        <f t="shared" si="113"/>
        <v>30</v>
      </c>
      <c r="K119" s="170">
        <f t="shared" si="114"/>
        <v>1</v>
      </c>
      <c r="L119" s="170">
        <f t="shared" si="115"/>
        <v>0</v>
      </c>
      <c r="M119" s="171">
        <f t="shared" si="116"/>
        <v>169.58213999999998</v>
      </c>
      <c r="N119" s="171">
        <f t="shared" si="117"/>
        <v>190.50959900000001</v>
      </c>
      <c r="O119" s="171">
        <f t="shared" si="118"/>
        <v>20.927459000000027</v>
      </c>
      <c r="P119" s="167">
        <f t="shared" si="104"/>
        <v>42370</v>
      </c>
      <c r="Q119" s="167">
        <f t="shared" si="105"/>
        <v>42399</v>
      </c>
      <c r="R119" s="168">
        <f t="shared" si="119"/>
        <v>2035.8</v>
      </c>
      <c r="S119" s="169">
        <f t="shared" si="120"/>
        <v>2287.0300000000002</v>
      </c>
      <c r="T119" s="170">
        <f t="shared" si="121"/>
        <v>30</v>
      </c>
      <c r="U119" s="170">
        <f t="shared" si="122"/>
        <v>1</v>
      </c>
      <c r="V119" s="170">
        <f t="shared" si="123"/>
        <v>0</v>
      </c>
      <c r="W119" s="171">
        <f t="shared" si="124"/>
        <v>226.17738</v>
      </c>
      <c r="X119" s="171">
        <f t="shared" si="125"/>
        <v>254.08903300000003</v>
      </c>
      <c r="Y119" s="171">
        <f t="shared" si="126"/>
        <v>27.91165300000003</v>
      </c>
      <c r="Z119" s="167">
        <f t="shared" si="106"/>
        <v>42370</v>
      </c>
      <c r="AA119" s="167">
        <f t="shared" si="107"/>
        <v>42399</v>
      </c>
      <c r="AB119" s="168">
        <f t="shared" si="127"/>
        <v>2035.8</v>
      </c>
      <c r="AC119" s="169">
        <f t="shared" si="128"/>
        <v>2287.0300000000002</v>
      </c>
      <c r="AD119" s="170">
        <f t="shared" si="129"/>
        <v>30</v>
      </c>
      <c r="AE119" s="170">
        <f t="shared" si="130"/>
        <v>1</v>
      </c>
      <c r="AF119" s="170">
        <f t="shared" si="131"/>
        <v>0</v>
      </c>
      <c r="AG119" s="171">
        <f t="shared" si="132"/>
        <v>87.539399999999986</v>
      </c>
      <c r="AH119" s="171">
        <f t="shared" si="133"/>
        <v>98.342290000000006</v>
      </c>
      <c r="AI119" s="171">
        <f t="shared" si="134"/>
        <v>10.802890000000019</v>
      </c>
      <c r="AJ119" s="167">
        <f t="shared" si="108"/>
        <v>42370</v>
      </c>
      <c r="AK119" s="167">
        <f t="shared" si="109"/>
        <v>42399</v>
      </c>
      <c r="AL119" s="168">
        <f t="shared" si="135"/>
        <v>2035.8</v>
      </c>
      <c r="AM119" s="169">
        <f t="shared" si="136"/>
        <v>2287.0300000000002</v>
      </c>
      <c r="AN119" s="170">
        <f t="shared" si="137"/>
        <v>30</v>
      </c>
      <c r="AO119" s="170">
        <f t="shared" si="138"/>
        <v>1</v>
      </c>
      <c r="AP119" s="170">
        <f t="shared" si="139"/>
        <v>0</v>
      </c>
      <c r="AQ119" s="171">
        <f t="shared" si="140"/>
        <v>62.406227519999995</v>
      </c>
      <c r="AR119" s="171">
        <f t="shared" si="141"/>
        <v>70.107532431999999</v>
      </c>
      <c r="AS119" s="171">
        <f t="shared" si="142"/>
        <v>7.7013049120000048</v>
      </c>
      <c r="AT119" s="167">
        <f t="shared" si="110"/>
        <v>42370</v>
      </c>
      <c r="AU119" s="167">
        <f t="shared" si="111"/>
        <v>42399</v>
      </c>
      <c r="AV119" s="168">
        <f t="shared" si="143"/>
        <v>2035.8</v>
      </c>
      <c r="AW119" s="169">
        <f t="shared" si="144"/>
        <v>2287.0300000000002</v>
      </c>
      <c r="AX119" s="170">
        <f t="shared" si="145"/>
        <v>30</v>
      </c>
      <c r="AY119" s="170">
        <f t="shared" si="146"/>
        <v>1</v>
      </c>
      <c r="AZ119" s="170">
        <f t="shared" si="147"/>
        <v>0</v>
      </c>
      <c r="BA119" s="171">
        <f t="shared" si="148"/>
        <v>83.23327583999999</v>
      </c>
      <c r="BB119" s="171">
        <f t="shared" si="149"/>
        <v>93.504764144000006</v>
      </c>
      <c r="BC119" s="171">
        <f t="shared" si="150"/>
        <v>10.271488304000016</v>
      </c>
      <c r="BD119" s="171">
        <f t="shared" si="151"/>
        <v>77.61479521600009</v>
      </c>
    </row>
    <row r="120" spans="1:56">
      <c r="A120" s="587" t="str">
        <f>'BANCO DADOS-CUSTO TOTAL'!C150</f>
        <v>Vespasiano</v>
      </c>
      <c r="B120" s="588" t="str">
        <f>'BANCO DADOS-CUSTO TOTAL'!H150</f>
        <v>BELTRANO 12443</v>
      </c>
      <c r="C120" s="588" t="str">
        <f>'BANCO DADOS-CUSTO TOTAL'!I150</f>
        <v>VIGILANTE ARMADO - 12X36 DIURNO</v>
      </c>
      <c r="D120" s="172"/>
      <c r="E120" s="172"/>
      <c r="F120" s="167">
        <v>42370</v>
      </c>
      <c r="G120" s="167">
        <v>42399</v>
      </c>
      <c r="H120" s="168">
        <f t="shared" si="112"/>
        <v>1869.08</v>
      </c>
      <c r="I120" s="169">
        <f>'BANCO DADOS-CUSTO TOTAL'!Y150</f>
        <v>2277.88</v>
      </c>
      <c r="J120" s="170">
        <f t="shared" si="113"/>
        <v>30</v>
      </c>
      <c r="K120" s="170">
        <f t="shared" si="114"/>
        <v>1</v>
      </c>
      <c r="L120" s="170">
        <f t="shared" si="115"/>
        <v>0</v>
      </c>
      <c r="M120" s="171">
        <f t="shared" si="116"/>
        <v>155.69436399999998</v>
      </c>
      <c r="N120" s="171">
        <f t="shared" si="117"/>
        <v>189.74740400000002</v>
      </c>
      <c r="O120" s="171">
        <f t="shared" si="118"/>
        <v>34.053040000000038</v>
      </c>
      <c r="P120" s="167">
        <f t="shared" si="104"/>
        <v>42370</v>
      </c>
      <c r="Q120" s="167">
        <f t="shared" si="105"/>
        <v>42399</v>
      </c>
      <c r="R120" s="168">
        <f t="shared" si="119"/>
        <v>1869.08</v>
      </c>
      <c r="S120" s="169">
        <f t="shared" si="120"/>
        <v>2277.88</v>
      </c>
      <c r="T120" s="170">
        <f t="shared" si="121"/>
        <v>30</v>
      </c>
      <c r="U120" s="170">
        <f t="shared" si="122"/>
        <v>1</v>
      </c>
      <c r="V120" s="170">
        <f t="shared" si="123"/>
        <v>0</v>
      </c>
      <c r="W120" s="171">
        <f t="shared" si="124"/>
        <v>207.654788</v>
      </c>
      <c r="X120" s="171">
        <f t="shared" si="125"/>
        <v>253.07246800000001</v>
      </c>
      <c r="Y120" s="171">
        <f t="shared" si="126"/>
        <v>45.417680000000018</v>
      </c>
      <c r="Z120" s="167">
        <f t="shared" si="106"/>
        <v>42370</v>
      </c>
      <c r="AA120" s="167">
        <f t="shared" si="107"/>
        <v>42399</v>
      </c>
      <c r="AB120" s="168">
        <f t="shared" si="127"/>
        <v>1869.08</v>
      </c>
      <c r="AC120" s="169">
        <f t="shared" si="128"/>
        <v>2277.88</v>
      </c>
      <c r="AD120" s="170">
        <f t="shared" si="129"/>
        <v>30</v>
      </c>
      <c r="AE120" s="170">
        <f t="shared" si="130"/>
        <v>1</v>
      </c>
      <c r="AF120" s="170">
        <f t="shared" si="131"/>
        <v>0</v>
      </c>
      <c r="AG120" s="171">
        <f t="shared" si="132"/>
        <v>80.370439999999988</v>
      </c>
      <c r="AH120" s="171">
        <f t="shared" si="133"/>
        <v>97.94883999999999</v>
      </c>
      <c r="AI120" s="171">
        <f t="shared" si="134"/>
        <v>17.578400000000002</v>
      </c>
      <c r="AJ120" s="167">
        <f t="shared" si="108"/>
        <v>42370</v>
      </c>
      <c r="AK120" s="167">
        <f t="shared" si="109"/>
        <v>42399</v>
      </c>
      <c r="AL120" s="168">
        <f t="shared" si="135"/>
        <v>1869.08</v>
      </c>
      <c r="AM120" s="169">
        <f t="shared" si="136"/>
        <v>2277.88</v>
      </c>
      <c r="AN120" s="170">
        <f t="shared" si="137"/>
        <v>30</v>
      </c>
      <c r="AO120" s="170">
        <f t="shared" si="138"/>
        <v>1</v>
      </c>
      <c r="AP120" s="170">
        <f t="shared" si="139"/>
        <v>0</v>
      </c>
      <c r="AQ120" s="171">
        <f t="shared" si="140"/>
        <v>57.295525951999991</v>
      </c>
      <c r="AR120" s="171">
        <f t="shared" si="141"/>
        <v>69.827044672</v>
      </c>
      <c r="AS120" s="171">
        <f t="shared" si="142"/>
        <v>12.531518720000008</v>
      </c>
      <c r="AT120" s="167">
        <f t="shared" si="110"/>
        <v>42370</v>
      </c>
      <c r="AU120" s="167">
        <f t="shared" si="111"/>
        <v>42399</v>
      </c>
      <c r="AV120" s="168">
        <f t="shared" si="143"/>
        <v>1869.08</v>
      </c>
      <c r="AW120" s="169">
        <f t="shared" si="144"/>
        <v>2277.88</v>
      </c>
      <c r="AX120" s="170">
        <f t="shared" si="145"/>
        <v>30</v>
      </c>
      <c r="AY120" s="170">
        <f t="shared" si="146"/>
        <v>1</v>
      </c>
      <c r="AZ120" s="170">
        <f t="shared" si="147"/>
        <v>0</v>
      </c>
      <c r="BA120" s="171">
        <f t="shared" si="148"/>
        <v>76.416961983999997</v>
      </c>
      <c r="BB120" s="171">
        <f t="shared" si="149"/>
        <v>93.130668224000004</v>
      </c>
      <c r="BC120" s="171">
        <f t="shared" si="150"/>
        <v>16.713706240000008</v>
      </c>
      <c r="BD120" s="171">
        <f t="shared" si="151"/>
        <v>126.29434496000007</v>
      </c>
    </row>
    <row r="121" spans="1:56">
      <c r="A121" s="587" t="str">
        <f>'BANCO DADOS-CUSTO TOTAL'!C151</f>
        <v>Vespasiano</v>
      </c>
      <c r="B121" s="588" t="str">
        <f>'BANCO DADOS-CUSTO TOTAL'!H151</f>
        <v>BELTRANO 12444</v>
      </c>
      <c r="C121" s="588" t="str">
        <f>'BANCO DADOS-CUSTO TOTAL'!I151</f>
        <v>VIGILANTE ARMADO - 12X36 DIURNO</v>
      </c>
      <c r="D121" s="172"/>
      <c r="E121" s="172"/>
      <c r="F121" s="167">
        <v>42370</v>
      </c>
      <c r="G121" s="167">
        <v>42399</v>
      </c>
      <c r="H121" s="168">
        <f t="shared" si="112"/>
        <v>1869.08</v>
      </c>
      <c r="I121" s="169">
        <f>'BANCO DADOS-CUSTO TOTAL'!Y151</f>
        <v>2277.88</v>
      </c>
      <c r="J121" s="170">
        <f t="shared" si="113"/>
        <v>30</v>
      </c>
      <c r="K121" s="170">
        <f t="shared" si="114"/>
        <v>1</v>
      </c>
      <c r="L121" s="170">
        <f t="shared" si="115"/>
        <v>0</v>
      </c>
      <c r="M121" s="171">
        <f t="shared" si="116"/>
        <v>155.69436399999998</v>
      </c>
      <c r="N121" s="171">
        <f t="shared" si="117"/>
        <v>189.74740400000002</v>
      </c>
      <c r="O121" s="171">
        <f t="shared" si="118"/>
        <v>34.053040000000038</v>
      </c>
      <c r="P121" s="167">
        <f t="shared" si="104"/>
        <v>42370</v>
      </c>
      <c r="Q121" s="167">
        <f t="shared" si="105"/>
        <v>42399</v>
      </c>
      <c r="R121" s="168">
        <f t="shared" si="119"/>
        <v>1869.08</v>
      </c>
      <c r="S121" s="169">
        <f t="shared" si="120"/>
        <v>2277.88</v>
      </c>
      <c r="T121" s="170">
        <f t="shared" si="121"/>
        <v>30</v>
      </c>
      <c r="U121" s="170">
        <f t="shared" si="122"/>
        <v>1</v>
      </c>
      <c r="V121" s="170">
        <f t="shared" si="123"/>
        <v>0</v>
      </c>
      <c r="W121" s="171">
        <f t="shared" si="124"/>
        <v>207.654788</v>
      </c>
      <c r="X121" s="171">
        <f t="shared" si="125"/>
        <v>253.07246800000001</v>
      </c>
      <c r="Y121" s="171">
        <f t="shared" si="126"/>
        <v>45.417680000000018</v>
      </c>
      <c r="Z121" s="167">
        <f t="shared" si="106"/>
        <v>42370</v>
      </c>
      <c r="AA121" s="167">
        <f t="shared" si="107"/>
        <v>42399</v>
      </c>
      <c r="AB121" s="168">
        <f t="shared" si="127"/>
        <v>1869.08</v>
      </c>
      <c r="AC121" s="169">
        <f t="shared" si="128"/>
        <v>2277.88</v>
      </c>
      <c r="AD121" s="170">
        <f t="shared" si="129"/>
        <v>30</v>
      </c>
      <c r="AE121" s="170">
        <f t="shared" si="130"/>
        <v>1</v>
      </c>
      <c r="AF121" s="170">
        <f t="shared" si="131"/>
        <v>0</v>
      </c>
      <c r="AG121" s="171">
        <f t="shared" si="132"/>
        <v>80.370439999999988</v>
      </c>
      <c r="AH121" s="171">
        <f t="shared" si="133"/>
        <v>97.94883999999999</v>
      </c>
      <c r="AI121" s="171">
        <f t="shared" si="134"/>
        <v>17.578400000000002</v>
      </c>
      <c r="AJ121" s="167">
        <f t="shared" si="108"/>
        <v>42370</v>
      </c>
      <c r="AK121" s="167">
        <f t="shared" si="109"/>
        <v>42399</v>
      </c>
      <c r="AL121" s="168">
        <f t="shared" si="135"/>
        <v>1869.08</v>
      </c>
      <c r="AM121" s="169">
        <f t="shared" si="136"/>
        <v>2277.88</v>
      </c>
      <c r="AN121" s="170">
        <f t="shared" si="137"/>
        <v>30</v>
      </c>
      <c r="AO121" s="170">
        <f t="shared" si="138"/>
        <v>1</v>
      </c>
      <c r="AP121" s="170">
        <f t="shared" si="139"/>
        <v>0</v>
      </c>
      <c r="AQ121" s="171">
        <f t="shared" si="140"/>
        <v>57.295525951999991</v>
      </c>
      <c r="AR121" s="171">
        <f t="shared" si="141"/>
        <v>69.827044672</v>
      </c>
      <c r="AS121" s="171">
        <f t="shared" si="142"/>
        <v>12.531518720000008</v>
      </c>
      <c r="AT121" s="167">
        <f t="shared" si="110"/>
        <v>42370</v>
      </c>
      <c r="AU121" s="167">
        <f t="shared" si="111"/>
        <v>42399</v>
      </c>
      <c r="AV121" s="168">
        <f t="shared" si="143"/>
        <v>1869.08</v>
      </c>
      <c r="AW121" s="169">
        <f t="shared" si="144"/>
        <v>2277.88</v>
      </c>
      <c r="AX121" s="170">
        <f t="shared" si="145"/>
        <v>30</v>
      </c>
      <c r="AY121" s="170">
        <f t="shared" si="146"/>
        <v>1</v>
      </c>
      <c r="AZ121" s="170">
        <f t="shared" si="147"/>
        <v>0</v>
      </c>
      <c r="BA121" s="171">
        <f t="shared" si="148"/>
        <v>76.416961983999997</v>
      </c>
      <c r="BB121" s="171">
        <f t="shared" si="149"/>
        <v>93.130668224000004</v>
      </c>
      <c r="BC121" s="171">
        <f t="shared" si="150"/>
        <v>16.713706240000008</v>
      </c>
      <c r="BD121" s="171">
        <f t="shared" si="151"/>
        <v>126.29434496000007</v>
      </c>
    </row>
    <row r="122" spans="1:56">
      <c r="A122" s="587" t="str">
        <f>'BANCO DADOS-CUSTO TOTAL'!C153</f>
        <v>Viçosa</v>
      </c>
      <c r="B122" s="588" t="str">
        <f>'BANCO DADOS-CUSTO TOTAL'!H153</f>
        <v>BELTRANO 12445</v>
      </c>
      <c r="C122" s="588" t="str">
        <f>'BANCO DADOS-CUSTO TOTAL'!I153</f>
        <v>VIGILANTE ARMADO - 12X36 DIURNO</v>
      </c>
      <c r="D122" s="172"/>
      <c r="E122" s="172"/>
      <c r="F122" s="167">
        <v>42370</v>
      </c>
      <c r="G122" s="167">
        <v>42399</v>
      </c>
      <c r="H122" s="168">
        <f t="shared" si="112"/>
        <v>1869.08</v>
      </c>
      <c r="I122" s="169">
        <f>'BANCO DADOS-CUSTO TOTAL'!Y153</f>
        <v>2277.88</v>
      </c>
      <c r="J122" s="170">
        <f t="shared" si="113"/>
        <v>30</v>
      </c>
      <c r="K122" s="170">
        <f t="shared" si="114"/>
        <v>1</v>
      </c>
      <c r="L122" s="170">
        <f t="shared" si="115"/>
        <v>0</v>
      </c>
      <c r="M122" s="171">
        <f t="shared" si="116"/>
        <v>155.69436399999998</v>
      </c>
      <c r="N122" s="171">
        <f t="shared" si="117"/>
        <v>189.74740400000002</v>
      </c>
      <c r="O122" s="171">
        <f t="shared" si="118"/>
        <v>34.053040000000038</v>
      </c>
      <c r="P122" s="167">
        <f t="shared" si="104"/>
        <v>42370</v>
      </c>
      <c r="Q122" s="167">
        <f t="shared" si="105"/>
        <v>42399</v>
      </c>
      <c r="R122" s="168">
        <f t="shared" si="119"/>
        <v>1869.08</v>
      </c>
      <c r="S122" s="169">
        <f t="shared" si="120"/>
        <v>2277.88</v>
      </c>
      <c r="T122" s="170">
        <f t="shared" si="121"/>
        <v>30</v>
      </c>
      <c r="U122" s="170">
        <f t="shared" si="122"/>
        <v>1</v>
      </c>
      <c r="V122" s="170">
        <f t="shared" si="123"/>
        <v>0</v>
      </c>
      <c r="W122" s="171">
        <f t="shared" si="124"/>
        <v>207.654788</v>
      </c>
      <c r="X122" s="171">
        <f t="shared" si="125"/>
        <v>253.07246800000001</v>
      </c>
      <c r="Y122" s="171">
        <f t="shared" si="126"/>
        <v>45.417680000000018</v>
      </c>
      <c r="Z122" s="167">
        <f t="shared" si="106"/>
        <v>42370</v>
      </c>
      <c r="AA122" s="167">
        <f t="shared" si="107"/>
        <v>42399</v>
      </c>
      <c r="AB122" s="168">
        <f t="shared" si="127"/>
        <v>1869.08</v>
      </c>
      <c r="AC122" s="169">
        <f t="shared" si="128"/>
        <v>2277.88</v>
      </c>
      <c r="AD122" s="170">
        <f t="shared" si="129"/>
        <v>30</v>
      </c>
      <c r="AE122" s="170">
        <f t="shared" si="130"/>
        <v>1</v>
      </c>
      <c r="AF122" s="170">
        <f t="shared" si="131"/>
        <v>0</v>
      </c>
      <c r="AG122" s="171">
        <f t="shared" si="132"/>
        <v>80.370439999999988</v>
      </c>
      <c r="AH122" s="171">
        <f t="shared" si="133"/>
        <v>97.94883999999999</v>
      </c>
      <c r="AI122" s="171">
        <f t="shared" si="134"/>
        <v>17.578400000000002</v>
      </c>
      <c r="AJ122" s="167">
        <f t="shared" si="108"/>
        <v>42370</v>
      </c>
      <c r="AK122" s="167">
        <f t="shared" si="109"/>
        <v>42399</v>
      </c>
      <c r="AL122" s="168">
        <f t="shared" si="135"/>
        <v>1869.08</v>
      </c>
      <c r="AM122" s="169">
        <f t="shared" si="136"/>
        <v>2277.88</v>
      </c>
      <c r="AN122" s="170">
        <f t="shared" si="137"/>
        <v>30</v>
      </c>
      <c r="AO122" s="170">
        <f t="shared" si="138"/>
        <v>1</v>
      </c>
      <c r="AP122" s="170">
        <f t="shared" si="139"/>
        <v>0</v>
      </c>
      <c r="AQ122" s="171">
        <f t="shared" si="140"/>
        <v>57.295525951999991</v>
      </c>
      <c r="AR122" s="171">
        <f t="shared" si="141"/>
        <v>69.827044672</v>
      </c>
      <c r="AS122" s="171">
        <f t="shared" si="142"/>
        <v>12.531518720000008</v>
      </c>
      <c r="AT122" s="167">
        <f t="shared" si="110"/>
        <v>42370</v>
      </c>
      <c r="AU122" s="167">
        <f t="shared" si="111"/>
        <v>42399</v>
      </c>
      <c r="AV122" s="168">
        <f t="shared" si="143"/>
        <v>1869.08</v>
      </c>
      <c r="AW122" s="169">
        <f t="shared" si="144"/>
        <v>2277.88</v>
      </c>
      <c r="AX122" s="170">
        <f t="shared" si="145"/>
        <v>30</v>
      </c>
      <c r="AY122" s="170">
        <f t="shared" si="146"/>
        <v>1</v>
      </c>
      <c r="AZ122" s="170">
        <f t="shared" si="147"/>
        <v>0</v>
      </c>
      <c r="BA122" s="171">
        <f t="shared" si="148"/>
        <v>76.416961983999997</v>
      </c>
      <c r="BB122" s="171">
        <f t="shared" si="149"/>
        <v>93.130668224000004</v>
      </c>
      <c r="BC122" s="171">
        <f t="shared" si="150"/>
        <v>16.713706240000008</v>
      </c>
      <c r="BD122" s="171">
        <f t="shared" si="151"/>
        <v>126.29434496000007</v>
      </c>
    </row>
    <row r="123" spans="1:56">
      <c r="A123" s="587" t="str">
        <f>'BANCO DADOS-CUSTO TOTAL'!C154</f>
        <v>Viçosa</v>
      </c>
      <c r="B123" s="588" t="str">
        <f>'BANCO DADOS-CUSTO TOTAL'!H154</f>
        <v>BELTRANO 1246</v>
      </c>
      <c r="C123" s="588" t="str">
        <f>'BANCO DADOS-CUSTO TOTAL'!I154</f>
        <v>VIGILANTE ARMADO - 12X36 DIURNO</v>
      </c>
      <c r="D123" s="172"/>
      <c r="E123" s="172"/>
      <c r="F123" s="167">
        <v>42370</v>
      </c>
      <c r="G123" s="167">
        <v>42399</v>
      </c>
      <c r="H123" s="168">
        <f t="shared" si="112"/>
        <v>1869.08</v>
      </c>
      <c r="I123" s="169">
        <f>'BANCO DADOS-CUSTO TOTAL'!Y154</f>
        <v>2277.88</v>
      </c>
      <c r="J123" s="170">
        <f t="shared" si="113"/>
        <v>30</v>
      </c>
      <c r="K123" s="170">
        <f t="shared" si="114"/>
        <v>1</v>
      </c>
      <c r="L123" s="170">
        <f t="shared" si="115"/>
        <v>0</v>
      </c>
      <c r="M123" s="171">
        <f t="shared" si="116"/>
        <v>155.69436399999998</v>
      </c>
      <c r="N123" s="171">
        <f t="shared" si="117"/>
        <v>189.74740400000002</v>
      </c>
      <c r="O123" s="171">
        <f t="shared" si="118"/>
        <v>34.053040000000038</v>
      </c>
      <c r="P123" s="167">
        <f t="shared" si="104"/>
        <v>42370</v>
      </c>
      <c r="Q123" s="167">
        <f t="shared" si="105"/>
        <v>42399</v>
      </c>
      <c r="R123" s="168">
        <f t="shared" si="119"/>
        <v>1869.08</v>
      </c>
      <c r="S123" s="169">
        <f t="shared" si="120"/>
        <v>2277.88</v>
      </c>
      <c r="T123" s="170">
        <f t="shared" si="121"/>
        <v>30</v>
      </c>
      <c r="U123" s="170">
        <f t="shared" si="122"/>
        <v>1</v>
      </c>
      <c r="V123" s="170">
        <f t="shared" si="123"/>
        <v>0</v>
      </c>
      <c r="W123" s="171">
        <f t="shared" si="124"/>
        <v>207.654788</v>
      </c>
      <c r="X123" s="171">
        <f t="shared" si="125"/>
        <v>253.07246800000001</v>
      </c>
      <c r="Y123" s="171">
        <f t="shared" si="126"/>
        <v>45.417680000000018</v>
      </c>
      <c r="Z123" s="167">
        <f t="shared" si="106"/>
        <v>42370</v>
      </c>
      <c r="AA123" s="167">
        <f t="shared" si="107"/>
        <v>42399</v>
      </c>
      <c r="AB123" s="168">
        <f t="shared" si="127"/>
        <v>1869.08</v>
      </c>
      <c r="AC123" s="169">
        <f t="shared" si="128"/>
        <v>2277.88</v>
      </c>
      <c r="AD123" s="170">
        <f t="shared" si="129"/>
        <v>30</v>
      </c>
      <c r="AE123" s="170">
        <f t="shared" si="130"/>
        <v>1</v>
      </c>
      <c r="AF123" s="170">
        <f t="shared" si="131"/>
        <v>0</v>
      </c>
      <c r="AG123" s="171">
        <f t="shared" si="132"/>
        <v>80.370439999999988</v>
      </c>
      <c r="AH123" s="171">
        <f t="shared" si="133"/>
        <v>97.94883999999999</v>
      </c>
      <c r="AI123" s="171">
        <f t="shared" si="134"/>
        <v>17.578400000000002</v>
      </c>
      <c r="AJ123" s="167">
        <f t="shared" si="108"/>
        <v>42370</v>
      </c>
      <c r="AK123" s="167">
        <f t="shared" si="109"/>
        <v>42399</v>
      </c>
      <c r="AL123" s="168">
        <f t="shared" si="135"/>
        <v>1869.08</v>
      </c>
      <c r="AM123" s="169">
        <f t="shared" si="136"/>
        <v>2277.88</v>
      </c>
      <c r="AN123" s="170">
        <f t="shared" si="137"/>
        <v>30</v>
      </c>
      <c r="AO123" s="170">
        <f t="shared" si="138"/>
        <v>1</v>
      </c>
      <c r="AP123" s="170">
        <f t="shared" si="139"/>
        <v>0</v>
      </c>
      <c r="AQ123" s="171">
        <f t="shared" si="140"/>
        <v>57.295525951999991</v>
      </c>
      <c r="AR123" s="171">
        <f t="shared" si="141"/>
        <v>69.827044672</v>
      </c>
      <c r="AS123" s="171">
        <f t="shared" si="142"/>
        <v>12.531518720000008</v>
      </c>
      <c r="AT123" s="167">
        <f t="shared" si="110"/>
        <v>42370</v>
      </c>
      <c r="AU123" s="167">
        <f t="shared" si="111"/>
        <v>42399</v>
      </c>
      <c r="AV123" s="168">
        <f t="shared" si="143"/>
        <v>1869.08</v>
      </c>
      <c r="AW123" s="169">
        <f t="shared" si="144"/>
        <v>2277.88</v>
      </c>
      <c r="AX123" s="170">
        <f t="shared" si="145"/>
        <v>30</v>
      </c>
      <c r="AY123" s="170">
        <f t="shared" si="146"/>
        <v>1</v>
      </c>
      <c r="AZ123" s="170">
        <f t="shared" si="147"/>
        <v>0</v>
      </c>
      <c r="BA123" s="171">
        <f t="shared" si="148"/>
        <v>76.416961983999997</v>
      </c>
      <c r="BB123" s="171">
        <f t="shared" si="149"/>
        <v>93.130668224000004</v>
      </c>
      <c r="BC123" s="171">
        <f t="shared" si="150"/>
        <v>16.713706240000008</v>
      </c>
      <c r="BD123" s="171">
        <f t="shared" si="151"/>
        <v>126.29434496000007</v>
      </c>
    </row>
    <row r="124" spans="1:56" s="177" customFormat="1" ht="17.25" customHeight="1">
      <c r="A124" s="593"/>
      <c r="B124" s="593"/>
      <c r="C124" s="593"/>
      <c r="D124" s="591"/>
      <c r="E124" s="591"/>
      <c r="F124" s="592"/>
      <c r="G124" s="592"/>
      <c r="H124" s="592"/>
      <c r="I124" s="594"/>
      <c r="J124" s="595"/>
      <c r="K124" s="595"/>
      <c r="L124" s="595"/>
      <c r="M124" s="594"/>
      <c r="N124" s="594" t="s">
        <v>2</v>
      </c>
      <c r="O124" s="594">
        <f>SUBTOTAL(9,O11:O123)</f>
        <v>3537.2453690000038</v>
      </c>
      <c r="P124" s="592"/>
      <c r="Q124" s="592"/>
      <c r="R124" s="592"/>
      <c r="S124" s="594"/>
      <c r="T124" s="595"/>
      <c r="U124" s="595"/>
      <c r="V124" s="595"/>
      <c r="W124" s="594"/>
      <c r="X124" s="594" t="s">
        <v>2</v>
      </c>
      <c r="Y124" s="594">
        <f>SUBTOTAL(9,Y11:Y123)</f>
        <v>4717.7426230000056</v>
      </c>
      <c r="Z124" s="592"/>
      <c r="AA124" s="592"/>
      <c r="AB124" s="592"/>
      <c r="AC124" s="594"/>
      <c r="AD124" s="595"/>
      <c r="AE124" s="595"/>
      <c r="AF124" s="595"/>
      <c r="AG124" s="594"/>
      <c r="AH124" s="594" t="s">
        <v>2</v>
      </c>
      <c r="AI124" s="594">
        <f>SUBTOTAL(9,AI11:AI123)</f>
        <v>1825.948990000004</v>
      </c>
      <c r="AJ124" s="592"/>
      <c r="AK124" s="592"/>
      <c r="AL124" s="592"/>
      <c r="AM124" s="594"/>
      <c r="AN124" s="595"/>
      <c r="AO124" s="595"/>
      <c r="AP124" s="595"/>
      <c r="AQ124" s="594"/>
      <c r="AR124" s="594" t="s">
        <v>2</v>
      </c>
      <c r="AS124" s="594">
        <f>SUBTOTAL(9,AS11:AS123)</f>
        <v>1301.7062957919984</v>
      </c>
      <c r="AT124" s="592"/>
      <c r="AU124" s="592"/>
      <c r="AV124" s="592"/>
      <c r="AW124" s="594"/>
      <c r="AX124" s="595"/>
      <c r="AY124" s="595"/>
      <c r="AZ124" s="595"/>
      <c r="BA124" s="594"/>
      <c r="BB124" s="594" t="s">
        <v>2</v>
      </c>
      <c r="BC124" s="594">
        <f>SUBTOTAL(9,BC11:BC123)</f>
        <v>1736.1292852639986</v>
      </c>
      <c r="BD124" s="594">
        <f>SUBTOTAL(9,BD11:BD123)</f>
        <v>13118.772563056011</v>
      </c>
    </row>
    <row r="125" spans="1:56" ht="15.75" customHeight="1">
      <c r="B125" s="821" t="s">
        <v>4059</v>
      </c>
      <c r="C125" s="821"/>
      <c r="D125" s="821"/>
      <c r="E125" s="821"/>
      <c r="F125" s="821"/>
      <c r="G125" s="821"/>
      <c r="H125" s="821"/>
      <c r="I125" s="821"/>
      <c r="J125" s="821"/>
      <c r="K125" s="821"/>
      <c r="L125" s="821"/>
      <c r="M125" s="821"/>
      <c r="N125" s="821"/>
      <c r="O125" s="821"/>
      <c r="P125" s="140"/>
      <c r="Q125" s="140"/>
      <c r="R125" s="140"/>
      <c r="S125" s="140"/>
      <c r="Z125" s="140"/>
      <c r="AA125" s="140"/>
      <c r="AB125" s="140"/>
      <c r="AC125" s="140"/>
      <c r="AJ125" s="140"/>
      <c r="AK125" s="140"/>
      <c r="AL125" s="140"/>
      <c r="AM125" s="140"/>
      <c r="AT125" s="140"/>
      <c r="AU125" s="140"/>
      <c r="AV125" s="140"/>
      <c r="AW125" s="140"/>
    </row>
    <row r="126" spans="1:56" s="178" customFormat="1" ht="33" customHeight="1">
      <c r="B126" s="821"/>
      <c r="C126" s="821"/>
      <c r="D126" s="821"/>
      <c r="E126" s="821"/>
      <c r="F126" s="821"/>
      <c r="G126" s="821"/>
      <c r="H126" s="821"/>
      <c r="I126" s="821"/>
      <c r="J126" s="821"/>
      <c r="K126" s="821"/>
      <c r="L126" s="821"/>
      <c r="M126" s="821"/>
      <c r="N126" s="821"/>
      <c r="O126" s="821"/>
    </row>
    <row r="127" spans="1:56">
      <c r="F127" s="179"/>
      <c r="G127" s="179"/>
      <c r="I127" s="181"/>
      <c r="J127" s="103"/>
      <c r="K127" s="103"/>
      <c r="L127" s="103"/>
      <c r="M127" s="103"/>
      <c r="N127" s="103"/>
      <c r="O127" s="103"/>
      <c r="P127" s="179"/>
      <c r="Q127" s="179"/>
      <c r="S127" s="181"/>
      <c r="T127" s="103"/>
      <c r="U127" s="103"/>
      <c r="V127" s="103"/>
      <c r="W127" s="103"/>
      <c r="X127" s="103"/>
      <c r="Y127" s="103"/>
      <c r="Z127" s="179"/>
      <c r="AA127" s="179"/>
      <c r="AC127" s="181"/>
      <c r="AD127" s="103"/>
      <c r="AE127" s="103"/>
      <c r="AF127" s="103"/>
      <c r="AG127" s="103"/>
      <c r="AH127" s="103"/>
      <c r="AI127" s="103"/>
      <c r="AJ127" s="179"/>
      <c r="AK127" s="179"/>
      <c r="AM127" s="181"/>
      <c r="AN127" s="103"/>
      <c r="AO127" s="103"/>
      <c r="AP127" s="103"/>
      <c r="AQ127" s="103"/>
      <c r="AR127" s="103"/>
      <c r="AS127" s="103"/>
      <c r="AT127" s="179"/>
      <c r="AU127" s="179"/>
      <c r="AW127" s="181"/>
      <c r="AX127" s="103"/>
      <c r="AY127" s="103"/>
      <c r="AZ127" s="103"/>
      <c r="BA127" s="103"/>
      <c r="BB127" s="103"/>
      <c r="BC127" s="103"/>
    </row>
    <row r="128" spans="1:56">
      <c r="F128" s="179"/>
      <c r="G128" s="179"/>
      <c r="P128" s="179"/>
      <c r="Q128" s="179"/>
      <c r="Z128" s="179"/>
      <c r="AA128" s="179"/>
      <c r="AJ128" s="179"/>
      <c r="AK128" s="179"/>
      <c r="AT128" s="179"/>
      <c r="AU128" s="179"/>
    </row>
    <row r="129" spans="6:47">
      <c r="F129" s="179"/>
      <c r="G129" s="179"/>
      <c r="P129" s="179"/>
      <c r="Q129" s="179"/>
      <c r="Z129" s="179"/>
      <c r="AA129" s="179"/>
      <c r="AJ129" s="179"/>
      <c r="AK129" s="179"/>
      <c r="AT129" s="179"/>
      <c r="AU129" s="179"/>
    </row>
    <row r="130" spans="6:47">
      <c r="F130" s="179"/>
      <c r="G130" s="179"/>
      <c r="P130" s="179"/>
      <c r="Q130" s="179"/>
      <c r="Z130" s="179"/>
      <c r="AA130" s="179"/>
      <c r="AJ130" s="179"/>
      <c r="AK130" s="179"/>
      <c r="AT130" s="179"/>
      <c r="AU130" s="179"/>
    </row>
    <row r="131" spans="6:47">
      <c r="F131" s="179"/>
      <c r="G131" s="179"/>
      <c r="P131" s="179"/>
      <c r="Q131" s="179"/>
      <c r="Z131" s="179"/>
      <c r="AA131" s="179"/>
      <c r="AJ131" s="179"/>
      <c r="AK131" s="179"/>
      <c r="AT131" s="179"/>
      <c r="AU131" s="179"/>
    </row>
    <row r="132" spans="6:47">
      <c r="F132" s="179"/>
      <c r="G132" s="179"/>
      <c r="P132" s="179"/>
      <c r="Q132" s="179"/>
      <c r="Z132" s="179"/>
      <c r="AA132" s="179"/>
      <c r="AJ132" s="179"/>
      <c r="AK132" s="179"/>
      <c r="AT132" s="179"/>
      <c r="AU132" s="179"/>
    </row>
    <row r="133" spans="6:47">
      <c r="F133" s="179"/>
      <c r="G133" s="179"/>
      <c r="P133" s="179"/>
      <c r="Q133" s="179"/>
      <c r="Z133" s="179"/>
      <c r="AA133" s="179"/>
      <c r="AJ133" s="179"/>
      <c r="AK133" s="179"/>
      <c r="AT133" s="179"/>
      <c r="AU133" s="179"/>
    </row>
    <row r="134" spans="6:47">
      <c r="F134" s="179"/>
      <c r="G134" s="179"/>
      <c r="P134" s="179"/>
      <c r="Q134" s="179"/>
      <c r="Z134" s="179"/>
      <c r="AA134" s="179"/>
      <c r="AJ134" s="179"/>
      <c r="AK134" s="179"/>
      <c r="AT134" s="179"/>
      <c r="AU134" s="179"/>
    </row>
    <row r="135" spans="6:47">
      <c r="F135" s="179"/>
      <c r="G135" s="179"/>
      <c r="P135" s="179"/>
      <c r="Q135" s="179"/>
      <c r="Z135" s="179"/>
      <c r="AA135" s="179"/>
      <c r="AJ135" s="179"/>
      <c r="AK135" s="179"/>
      <c r="AT135" s="179"/>
      <c r="AU135" s="179"/>
    </row>
    <row r="136" spans="6:47">
      <c r="F136" s="179"/>
      <c r="G136" s="179"/>
      <c r="P136" s="179"/>
      <c r="Q136" s="179"/>
      <c r="Z136" s="179"/>
      <c r="AA136" s="179"/>
      <c r="AJ136" s="179"/>
      <c r="AK136" s="179"/>
      <c r="AT136" s="179"/>
      <c r="AU136" s="179"/>
    </row>
    <row r="137" spans="6:47">
      <c r="F137" s="179"/>
      <c r="G137" s="179"/>
      <c r="P137" s="179"/>
      <c r="Q137" s="179"/>
      <c r="Z137" s="179"/>
      <c r="AA137" s="179"/>
      <c r="AJ137" s="179"/>
      <c r="AK137" s="179"/>
      <c r="AT137" s="179"/>
      <c r="AU137" s="179"/>
    </row>
    <row r="138" spans="6:47">
      <c r="F138" s="179"/>
      <c r="G138" s="179"/>
      <c r="P138" s="179"/>
      <c r="Q138" s="179"/>
      <c r="Z138" s="179"/>
      <c r="AA138" s="179"/>
      <c r="AJ138" s="179"/>
      <c r="AK138" s="179"/>
      <c r="AT138" s="179"/>
      <c r="AU138" s="179"/>
    </row>
    <row r="139" spans="6:47">
      <c r="F139" s="179"/>
      <c r="G139" s="179"/>
      <c r="P139" s="179"/>
      <c r="Q139" s="179"/>
      <c r="Z139" s="179"/>
      <c r="AA139" s="179"/>
      <c r="AJ139" s="179"/>
      <c r="AK139" s="179"/>
      <c r="AT139" s="179"/>
      <c r="AU139" s="179"/>
    </row>
    <row r="140" spans="6:47">
      <c r="F140" s="179"/>
      <c r="G140" s="179"/>
      <c r="P140" s="179"/>
      <c r="Q140" s="179"/>
      <c r="Z140" s="179"/>
      <c r="AA140" s="179"/>
      <c r="AJ140" s="179"/>
      <c r="AK140" s="179"/>
      <c r="AT140" s="179"/>
      <c r="AU140" s="179"/>
    </row>
    <row r="141" spans="6:47">
      <c r="F141" s="179"/>
      <c r="G141" s="179"/>
      <c r="P141" s="179"/>
      <c r="Q141" s="179"/>
      <c r="Z141" s="179"/>
      <c r="AA141" s="179"/>
      <c r="AJ141" s="179"/>
      <c r="AK141" s="179"/>
      <c r="AT141" s="179"/>
      <c r="AU141" s="179"/>
    </row>
    <row r="142" spans="6:47">
      <c r="F142" s="179"/>
      <c r="G142" s="179"/>
      <c r="P142" s="179"/>
      <c r="Q142" s="179"/>
      <c r="Z142" s="179"/>
      <c r="AA142" s="179"/>
      <c r="AJ142" s="179"/>
      <c r="AK142" s="179"/>
      <c r="AT142" s="179"/>
      <c r="AU142" s="179"/>
    </row>
    <row r="143" spans="6:47">
      <c r="F143" s="179"/>
      <c r="G143" s="179"/>
      <c r="P143" s="179"/>
      <c r="Q143" s="179"/>
      <c r="Z143" s="179"/>
      <c r="AA143" s="179"/>
      <c r="AJ143" s="179"/>
      <c r="AK143" s="179"/>
      <c r="AT143" s="179"/>
      <c r="AU143" s="179"/>
    </row>
    <row r="144" spans="6:47">
      <c r="F144" s="179"/>
      <c r="G144" s="179"/>
      <c r="P144" s="179"/>
      <c r="Q144" s="179"/>
      <c r="Z144" s="179"/>
      <c r="AA144" s="179"/>
      <c r="AJ144" s="179"/>
      <c r="AK144" s="179"/>
      <c r="AT144" s="179"/>
      <c r="AU144" s="179"/>
    </row>
    <row r="145" spans="6:47">
      <c r="F145" s="179"/>
      <c r="G145" s="179"/>
      <c r="P145" s="179"/>
      <c r="Q145" s="179"/>
      <c r="Z145" s="179"/>
      <c r="AA145" s="179"/>
      <c r="AJ145" s="179"/>
      <c r="AK145" s="179"/>
      <c r="AT145" s="179"/>
      <c r="AU145" s="179"/>
    </row>
    <row r="146" spans="6:47">
      <c r="F146" s="179"/>
      <c r="G146" s="179"/>
      <c r="P146" s="179"/>
      <c r="Q146" s="179"/>
      <c r="Z146" s="179"/>
      <c r="AA146" s="179"/>
      <c r="AJ146" s="179"/>
      <c r="AK146" s="179"/>
      <c r="AT146" s="179"/>
      <c r="AU146" s="179"/>
    </row>
    <row r="147" spans="6:47">
      <c r="F147" s="179"/>
      <c r="G147" s="179"/>
      <c r="P147" s="179"/>
      <c r="Q147" s="179"/>
      <c r="Z147" s="179"/>
      <c r="AA147" s="179"/>
      <c r="AJ147" s="179"/>
      <c r="AK147" s="179"/>
      <c r="AT147" s="179"/>
      <c r="AU147" s="179"/>
    </row>
    <row r="148" spans="6:47">
      <c r="F148" s="179"/>
      <c r="G148" s="179"/>
      <c r="P148" s="179"/>
      <c r="Q148" s="179"/>
      <c r="Z148" s="179"/>
      <c r="AA148" s="179"/>
      <c r="AJ148" s="179"/>
      <c r="AK148" s="179"/>
      <c r="AT148" s="179"/>
      <c r="AU148" s="179"/>
    </row>
    <row r="149" spans="6:47">
      <c r="F149" s="179"/>
      <c r="G149" s="179"/>
      <c r="P149" s="179"/>
      <c r="Q149" s="179"/>
      <c r="Z149" s="179"/>
      <c r="AA149" s="179"/>
      <c r="AJ149" s="179"/>
      <c r="AK149" s="179"/>
      <c r="AT149" s="179"/>
      <c r="AU149" s="179"/>
    </row>
    <row r="150" spans="6:47">
      <c r="F150" s="179"/>
      <c r="G150" s="179"/>
      <c r="P150" s="179"/>
      <c r="Q150" s="179"/>
      <c r="Z150" s="179"/>
      <c r="AA150" s="179"/>
      <c r="AJ150" s="179"/>
      <c r="AK150" s="179"/>
      <c r="AT150" s="179"/>
      <c r="AU150" s="179"/>
    </row>
    <row r="151" spans="6:47">
      <c r="F151" s="179"/>
      <c r="G151" s="179"/>
      <c r="P151" s="179"/>
      <c r="Q151" s="179"/>
      <c r="Z151" s="179"/>
      <c r="AA151" s="179"/>
      <c r="AJ151" s="179"/>
      <c r="AK151" s="179"/>
      <c r="AT151" s="179"/>
      <c r="AU151" s="179"/>
    </row>
    <row r="152" spans="6:47">
      <c r="F152" s="179"/>
      <c r="G152" s="179"/>
      <c r="P152" s="179"/>
      <c r="Q152" s="179"/>
      <c r="Z152" s="179"/>
      <c r="AA152" s="179"/>
      <c r="AJ152" s="179"/>
      <c r="AK152" s="179"/>
      <c r="AT152" s="179"/>
      <c r="AU152" s="179"/>
    </row>
    <row r="153" spans="6:47">
      <c r="F153" s="179"/>
      <c r="G153" s="179"/>
      <c r="P153" s="179"/>
      <c r="Q153" s="179"/>
      <c r="Z153" s="179"/>
      <c r="AA153" s="179"/>
      <c r="AJ153" s="179"/>
      <c r="AK153" s="179"/>
      <c r="AT153" s="179"/>
      <c r="AU153" s="179"/>
    </row>
    <row r="154" spans="6:47">
      <c r="F154" s="179"/>
      <c r="G154" s="179"/>
      <c r="P154" s="179"/>
      <c r="Q154" s="179"/>
      <c r="Z154" s="179"/>
      <c r="AA154" s="179"/>
      <c r="AJ154" s="179"/>
      <c r="AK154" s="179"/>
      <c r="AT154" s="179"/>
      <c r="AU154" s="179"/>
    </row>
    <row r="155" spans="6:47">
      <c r="F155" s="179"/>
      <c r="G155" s="179"/>
      <c r="P155" s="179"/>
      <c r="Q155" s="179"/>
      <c r="Z155" s="179"/>
      <c r="AA155" s="179"/>
      <c r="AJ155" s="179"/>
      <c r="AK155" s="179"/>
      <c r="AT155" s="179"/>
      <c r="AU155" s="179"/>
    </row>
    <row r="156" spans="6:47">
      <c r="F156" s="179"/>
      <c r="G156" s="179"/>
      <c r="P156" s="179"/>
      <c r="Q156" s="179"/>
      <c r="Z156" s="179"/>
      <c r="AA156" s="179"/>
      <c r="AJ156" s="179"/>
      <c r="AK156" s="179"/>
      <c r="AT156" s="179"/>
      <c r="AU156" s="179"/>
    </row>
    <row r="157" spans="6:47">
      <c r="F157" s="179"/>
      <c r="G157" s="179"/>
      <c r="P157" s="179"/>
      <c r="Q157" s="179"/>
      <c r="Z157" s="179"/>
      <c r="AA157" s="179"/>
      <c r="AJ157" s="179"/>
      <c r="AK157" s="179"/>
      <c r="AT157" s="179"/>
      <c r="AU157" s="179"/>
    </row>
    <row r="158" spans="6:47">
      <c r="F158" s="179"/>
      <c r="G158" s="179"/>
      <c r="P158" s="179"/>
      <c r="Q158" s="179"/>
      <c r="Z158" s="179"/>
      <c r="AA158" s="179"/>
      <c r="AJ158" s="179"/>
      <c r="AK158" s="179"/>
      <c r="AT158" s="179"/>
      <c r="AU158" s="179"/>
    </row>
    <row r="159" spans="6:47">
      <c r="F159" s="179"/>
      <c r="G159" s="179"/>
      <c r="P159" s="179"/>
      <c r="Q159" s="179"/>
      <c r="Z159" s="179"/>
      <c r="AA159" s="179"/>
      <c r="AJ159" s="179"/>
      <c r="AK159" s="179"/>
      <c r="AT159" s="179"/>
      <c r="AU159" s="179"/>
    </row>
    <row r="160" spans="6:47">
      <c r="F160" s="179"/>
      <c r="G160" s="179"/>
      <c r="P160" s="179"/>
      <c r="Q160" s="179"/>
      <c r="Z160" s="179"/>
      <c r="AA160" s="179"/>
      <c r="AJ160" s="179"/>
      <c r="AK160" s="179"/>
      <c r="AT160" s="179"/>
      <c r="AU160" s="179"/>
    </row>
    <row r="161" spans="6:47">
      <c r="F161" s="179"/>
      <c r="G161" s="179"/>
      <c r="P161" s="179"/>
      <c r="Q161" s="179"/>
      <c r="Z161" s="179"/>
      <c r="AA161" s="179"/>
      <c r="AJ161" s="179"/>
      <c r="AK161" s="179"/>
      <c r="AT161" s="179"/>
      <c r="AU161" s="179"/>
    </row>
    <row r="162" spans="6:47">
      <c r="F162" s="179"/>
      <c r="G162" s="179"/>
      <c r="P162" s="179"/>
      <c r="Q162" s="179"/>
      <c r="Z162" s="179"/>
      <c r="AA162" s="179"/>
      <c r="AJ162" s="179"/>
      <c r="AK162" s="179"/>
      <c r="AT162" s="179"/>
      <c r="AU162" s="179"/>
    </row>
    <row r="163" spans="6:47">
      <c r="F163" s="179"/>
      <c r="G163" s="179"/>
      <c r="P163" s="179"/>
      <c r="Q163" s="179"/>
      <c r="Z163" s="179"/>
      <c r="AA163" s="179"/>
      <c r="AJ163" s="179"/>
      <c r="AK163" s="179"/>
      <c r="AT163" s="179"/>
      <c r="AU163" s="179"/>
    </row>
    <row r="164" spans="6:47">
      <c r="F164" s="179"/>
      <c r="G164" s="179"/>
      <c r="P164" s="179"/>
      <c r="Q164" s="179"/>
      <c r="Z164" s="179"/>
      <c r="AA164" s="179"/>
      <c r="AJ164" s="179"/>
      <c r="AK164" s="179"/>
      <c r="AT164" s="179"/>
      <c r="AU164" s="179"/>
    </row>
    <row r="165" spans="6:47">
      <c r="F165" s="179"/>
      <c r="G165" s="179"/>
      <c r="P165" s="179"/>
      <c r="Q165" s="179"/>
      <c r="Z165" s="179"/>
      <c r="AA165" s="179"/>
      <c r="AJ165" s="179"/>
      <c r="AK165" s="179"/>
      <c r="AT165" s="179"/>
      <c r="AU165" s="179"/>
    </row>
    <row r="166" spans="6:47">
      <c r="F166" s="179"/>
      <c r="G166" s="179"/>
      <c r="P166" s="179"/>
      <c r="Q166" s="179"/>
      <c r="Z166" s="179"/>
      <c r="AA166" s="179"/>
      <c r="AJ166" s="179"/>
      <c r="AK166" s="179"/>
      <c r="AT166" s="179"/>
      <c r="AU166" s="179"/>
    </row>
    <row r="167" spans="6:47">
      <c r="F167" s="179"/>
      <c r="G167" s="179"/>
      <c r="P167" s="179"/>
      <c r="Q167" s="179"/>
      <c r="Z167" s="179"/>
      <c r="AA167" s="179"/>
      <c r="AJ167" s="179"/>
      <c r="AK167" s="179"/>
      <c r="AT167" s="179"/>
      <c r="AU167" s="179"/>
    </row>
    <row r="168" spans="6:47">
      <c r="F168" s="179"/>
      <c r="G168" s="179"/>
      <c r="P168" s="179"/>
      <c r="Q168" s="179"/>
      <c r="Z168" s="179"/>
      <c r="AA168" s="179"/>
      <c r="AJ168" s="179"/>
      <c r="AK168" s="179"/>
      <c r="AT168" s="179"/>
      <c r="AU168" s="179"/>
    </row>
    <row r="169" spans="6:47">
      <c r="F169" s="179"/>
      <c r="G169" s="179"/>
      <c r="P169" s="179"/>
      <c r="Q169" s="179"/>
      <c r="Z169" s="179"/>
      <c r="AA169" s="179"/>
      <c r="AJ169" s="179"/>
      <c r="AK169" s="179"/>
      <c r="AT169" s="179"/>
      <c r="AU169" s="179"/>
    </row>
    <row r="170" spans="6:47">
      <c r="F170" s="179"/>
      <c r="G170" s="179"/>
      <c r="P170" s="179"/>
      <c r="Q170" s="179"/>
      <c r="Z170" s="179"/>
      <c r="AA170" s="179"/>
      <c r="AJ170" s="179"/>
      <c r="AK170" s="179"/>
      <c r="AT170" s="179"/>
      <c r="AU170" s="179"/>
    </row>
    <row r="171" spans="6:47">
      <c r="F171" s="179"/>
      <c r="G171" s="179"/>
      <c r="P171" s="179"/>
      <c r="Q171" s="179"/>
      <c r="Z171" s="179"/>
      <c r="AA171" s="179"/>
      <c r="AJ171" s="179"/>
      <c r="AK171" s="179"/>
      <c r="AT171" s="179"/>
      <c r="AU171" s="179"/>
    </row>
    <row r="172" spans="6:47">
      <c r="F172" s="179"/>
      <c r="G172" s="179"/>
      <c r="P172" s="179"/>
      <c r="Q172" s="179"/>
      <c r="Z172" s="179"/>
      <c r="AA172" s="179"/>
      <c r="AJ172" s="179"/>
      <c r="AK172" s="179"/>
      <c r="AT172" s="179"/>
      <c r="AU172" s="179"/>
    </row>
    <row r="173" spans="6:47">
      <c r="F173" s="179"/>
      <c r="G173" s="179"/>
      <c r="P173" s="179"/>
      <c r="Q173" s="179"/>
      <c r="Z173" s="179"/>
      <c r="AA173" s="179"/>
      <c r="AJ173" s="179"/>
      <c r="AK173" s="179"/>
      <c r="AT173" s="179"/>
      <c r="AU173" s="179"/>
    </row>
    <row r="174" spans="6:47">
      <c r="F174" s="179"/>
      <c r="G174" s="179"/>
      <c r="P174" s="179"/>
      <c r="Q174" s="179"/>
      <c r="Z174" s="179"/>
      <c r="AA174" s="179"/>
      <c r="AJ174" s="179"/>
      <c r="AK174" s="179"/>
      <c r="AT174" s="179"/>
      <c r="AU174" s="179"/>
    </row>
    <row r="175" spans="6:47">
      <c r="F175" s="179"/>
      <c r="G175" s="179"/>
      <c r="P175" s="179"/>
      <c r="Q175" s="179"/>
      <c r="Z175" s="179"/>
      <c r="AA175" s="179"/>
      <c r="AJ175" s="179"/>
      <c r="AK175" s="179"/>
      <c r="AT175" s="179"/>
      <c r="AU175" s="179"/>
    </row>
    <row r="176" spans="6:47">
      <c r="F176" s="179"/>
      <c r="G176" s="179"/>
      <c r="P176" s="179"/>
      <c r="Q176" s="179"/>
      <c r="Z176" s="179"/>
      <c r="AA176" s="179"/>
      <c r="AJ176" s="179"/>
      <c r="AK176" s="179"/>
      <c r="AT176" s="179"/>
      <c r="AU176" s="179"/>
    </row>
    <row r="177" spans="6:47">
      <c r="F177" s="179"/>
      <c r="G177" s="179"/>
      <c r="P177" s="179"/>
      <c r="Q177" s="179"/>
      <c r="Z177" s="179"/>
      <c r="AA177" s="179"/>
      <c r="AJ177" s="179"/>
      <c r="AK177" s="179"/>
      <c r="AT177" s="179"/>
      <c r="AU177" s="179"/>
    </row>
    <row r="178" spans="6:47">
      <c r="F178" s="179"/>
      <c r="G178" s="179"/>
      <c r="P178" s="179"/>
      <c r="Q178" s="179"/>
      <c r="Z178" s="179"/>
      <c r="AA178" s="179"/>
      <c r="AJ178" s="179"/>
      <c r="AK178" s="179"/>
      <c r="AT178" s="179"/>
      <c r="AU178" s="179"/>
    </row>
    <row r="179" spans="6:47">
      <c r="F179" s="179"/>
      <c r="G179" s="179"/>
      <c r="P179" s="179"/>
      <c r="Q179" s="179"/>
      <c r="Z179" s="179"/>
      <c r="AA179" s="179"/>
      <c r="AJ179" s="179"/>
      <c r="AK179" s="179"/>
      <c r="AT179" s="179"/>
      <c r="AU179" s="179"/>
    </row>
    <row r="180" spans="6:47">
      <c r="F180" s="179"/>
      <c r="G180" s="179"/>
      <c r="P180" s="179"/>
      <c r="Q180" s="179"/>
      <c r="Z180" s="179"/>
      <c r="AA180" s="179"/>
      <c r="AJ180" s="179"/>
      <c r="AK180" s="179"/>
      <c r="AT180" s="179"/>
      <c r="AU180" s="179"/>
    </row>
    <row r="181" spans="6:47">
      <c r="F181" s="179"/>
      <c r="G181" s="179"/>
      <c r="P181" s="179"/>
      <c r="Q181" s="179"/>
      <c r="Z181" s="179"/>
      <c r="AA181" s="179"/>
      <c r="AJ181" s="179"/>
      <c r="AK181" s="179"/>
      <c r="AT181" s="179"/>
      <c r="AU181" s="179"/>
    </row>
    <row r="182" spans="6:47">
      <c r="F182" s="179"/>
      <c r="G182" s="179"/>
      <c r="P182" s="179"/>
      <c r="Q182" s="179"/>
      <c r="Z182" s="179"/>
      <c r="AA182" s="179"/>
      <c r="AJ182" s="179"/>
      <c r="AK182" s="179"/>
      <c r="AT182" s="179"/>
      <c r="AU182" s="179"/>
    </row>
    <row r="183" spans="6:47">
      <c r="F183" s="179"/>
      <c r="G183" s="179"/>
      <c r="P183" s="179"/>
      <c r="Q183" s="179"/>
      <c r="Z183" s="179"/>
      <c r="AA183" s="179"/>
      <c r="AJ183" s="179"/>
      <c r="AK183" s="179"/>
      <c r="AT183" s="179"/>
      <c r="AU183" s="179"/>
    </row>
    <row r="184" spans="6:47">
      <c r="F184" s="179"/>
      <c r="G184" s="179"/>
      <c r="P184" s="179"/>
      <c r="Q184" s="179"/>
      <c r="Z184" s="179"/>
      <c r="AA184" s="179"/>
      <c r="AJ184" s="179"/>
      <c r="AK184" s="179"/>
      <c r="AT184" s="179"/>
      <c r="AU184" s="179"/>
    </row>
    <row r="185" spans="6:47">
      <c r="F185" s="179"/>
      <c r="G185" s="179"/>
      <c r="P185" s="179"/>
      <c r="Q185" s="179"/>
      <c r="Z185" s="179"/>
      <c r="AA185" s="179"/>
      <c r="AJ185" s="179"/>
      <c r="AK185" s="179"/>
      <c r="AT185" s="179"/>
      <c r="AU185" s="179"/>
    </row>
    <row r="186" spans="6:47">
      <c r="F186" s="179"/>
      <c r="G186" s="179"/>
      <c r="P186" s="179"/>
      <c r="Q186" s="179"/>
      <c r="Z186" s="179"/>
      <c r="AA186" s="179"/>
      <c r="AJ186" s="179"/>
      <c r="AK186" s="179"/>
      <c r="AT186" s="179"/>
      <c r="AU186" s="179"/>
    </row>
    <row r="187" spans="6:47">
      <c r="F187" s="179"/>
      <c r="G187" s="179"/>
      <c r="P187" s="179"/>
      <c r="Q187" s="179"/>
      <c r="Z187" s="179"/>
      <c r="AA187" s="179"/>
      <c r="AJ187" s="179"/>
      <c r="AK187" s="179"/>
      <c r="AT187" s="179"/>
      <c r="AU187" s="179"/>
    </row>
    <row r="188" spans="6:47">
      <c r="F188" s="179"/>
      <c r="G188" s="179"/>
      <c r="P188" s="179"/>
      <c r="Q188" s="179"/>
      <c r="Z188" s="179"/>
      <c r="AA188" s="179"/>
      <c r="AJ188" s="179"/>
      <c r="AK188" s="179"/>
      <c r="AT188" s="179"/>
      <c r="AU188" s="179"/>
    </row>
    <row r="189" spans="6:47">
      <c r="F189" s="179"/>
      <c r="G189" s="179"/>
      <c r="P189" s="179"/>
      <c r="Q189" s="179"/>
      <c r="Z189" s="179"/>
      <c r="AA189" s="179"/>
      <c r="AJ189" s="179"/>
      <c r="AK189" s="179"/>
      <c r="AT189" s="179"/>
      <c r="AU189" s="179"/>
    </row>
    <row r="190" spans="6:47">
      <c r="F190" s="179"/>
      <c r="G190" s="179"/>
      <c r="P190" s="179"/>
      <c r="Q190" s="179"/>
      <c r="Z190" s="179"/>
      <c r="AA190" s="179"/>
      <c r="AJ190" s="179"/>
      <c r="AK190" s="179"/>
      <c r="AT190" s="179"/>
      <c r="AU190" s="179"/>
    </row>
    <row r="191" spans="6:47">
      <c r="F191" s="179"/>
      <c r="G191" s="179"/>
      <c r="P191" s="179"/>
      <c r="Q191" s="179"/>
      <c r="Z191" s="179"/>
      <c r="AA191" s="179"/>
      <c r="AJ191" s="179"/>
      <c r="AK191" s="179"/>
      <c r="AT191" s="179"/>
      <c r="AU191" s="179"/>
    </row>
    <row r="192" spans="6:47">
      <c r="F192" s="179"/>
      <c r="G192" s="179"/>
      <c r="P192" s="179"/>
      <c r="Q192" s="179"/>
      <c r="Z192" s="179"/>
      <c r="AA192" s="179"/>
      <c r="AJ192" s="179"/>
      <c r="AK192" s="179"/>
      <c r="AT192" s="179"/>
      <c r="AU192" s="179"/>
    </row>
    <row r="193" spans="6:47">
      <c r="F193" s="179"/>
      <c r="G193" s="179"/>
      <c r="P193" s="179"/>
      <c r="Q193" s="179"/>
      <c r="Z193" s="179"/>
      <c r="AA193" s="179"/>
      <c r="AJ193" s="179"/>
      <c r="AK193" s="179"/>
      <c r="AT193" s="179"/>
      <c r="AU193" s="179"/>
    </row>
    <row r="194" spans="6:47">
      <c r="F194" s="179"/>
      <c r="G194" s="179"/>
      <c r="P194" s="179"/>
      <c r="Q194" s="179"/>
      <c r="Z194" s="179"/>
      <c r="AA194" s="179"/>
      <c r="AJ194" s="179"/>
      <c r="AK194" s="179"/>
      <c r="AT194" s="179"/>
      <c r="AU194" s="179"/>
    </row>
    <row r="195" spans="6:47">
      <c r="F195" s="179"/>
      <c r="G195" s="179"/>
      <c r="P195" s="179"/>
      <c r="Q195" s="179"/>
      <c r="Z195" s="179"/>
      <c r="AA195" s="179"/>
      <c r="AJ195" s="179"/>
      <c r="AK195" s="179"/>
      <c r="AT195" s="179"/>
      <c r="AU195" s="179"/>
    </row>
    <row r="196" spans="6:47">
      <c r="F196" s="179"/>
      <c r="G196" s="179"/>
      <c r="P196" s="179"/>
      <c r="Q196" s="179"/>
      <c r="Z196" s="179"/>
      <c r="AA196" s="179"/>
      <c r="AJ196" s="179"/>
      <c r="AK196" s="179"/>
      <c r="AT196" s="179"/>
      <c r="AU196" s="179"/>
    </row>
    <row r="197" spans="6:47">
      <c r="F197" s="179"/>
      <c r="G197" s="179"/>
      <c r="P197" s="179"/>
      <c r="Q197" s="179"/>
      <c r="Z197" s="179"/>
      <c r="AA197" s="179"/>
      <c r="AJ197" s="179"/>
      <c r="AK197" s="179"/>
      <c r="AT197" s="179"/>
      <c r="AU197" s="179"/>
    </row>
    <row r="198" spans="6:47">
      <c r="F198" s="179"/>
      <c r="G198" s="179"/>
      <c r="P198" s="179"/>
      <c r="Q198" s="179"/>
      <c r="Z198" s="179"/>
      <c r="AA198" s="179"/>
      <c r="AJ198" s="179"/>
      <c r="AK198" s="179"/>
      <c r="AT198" s="179"/>
      <c r="AU198" s="179"/>
    </row>
    <row r="199" spans="6:47">
      <c r="F199" s="179"/>
      <c r="G199" s="179"/>
      <c r="P199" s="179"/>
      <c r="Q199" s="179"/>
      <c r="Z199" s="179"/>
      <c r="AA199" s="179"/>
      <c r="AJ199" s="179"/>
      <c r="AK199" s="179"/>
      <c r="AT199" s="179"/>
      <c r="AU199" s="179"/>
    </row>
    <row r="200" spans="6:47">
      <c r="F200" s="179"/>
      <c r="G200" s="179"/>
      <c r="P200" s="179"/>
      <c r="Q200" s="179"/>
      <c r="Z200" s="179"/>
      <c r="AA200" s="179"/>
      <c r="AJ200" s="179"/>
      <c r="AK200" s="179"/>
      <c r="AT200" s="179"/>
      <c r="AU200" s="179"/>
    </row>
    <row r="201" spans="6:47">
      <c r="F201" s="179"/>
      <c r="G201" s="179"/>
      <c r="P201" s="179"/>
      <c r="Q201" s="179"/>
      <c r="Z201" s="179"/>
      <c r="AA201" s="179"/>
      <c r="AJ201" s="179"/>
      <c r="AK201" s="179"/>
      <c r="AT201" s="179"/>
      <c r="AU201" s="179"/>
    </row>
    <row r="202" spans="6:47">
      <c r="F202" s="179"/>
      <c r="G202" s="179"/>
      <c r="P202" s="179"/>
      <c r="Q202" s="179"/>
      <c r="Z202" s="179"/>
      <c r="AA202" s="179"/>
      <c r="AJ202" s="179"/>
      <c r="AK202" s="179"/>
      <c r="AT202" s="179"/>
      <c r="AU202" s="179"/>
    </row>
    <row r="203" spans="6:47">
      <c r="F203" s="179"/>
      <c r="G203" s="179"/>
      <c r="P203" s="179"/>
      <c r="Q203" s="179"/>
      <c r="Z203" s="179"/>
      <c r="AA203" s="179"/>
      <c r="AJ203" s="179"/>
      <c r="AK203" s="179"/>
      <c r="AT203" s="179"/>
      <c r="AU203" s="179"/>
    </row>
    <row r="204" spans="6:47">
      <c r="F204" s="179"/>
      <c r="G204" s="179"/>
      <c r="P204" s="179"/>
      <c r="Q204" s="179"/>
      <c r="Z204" s="179"/>
      <c r="AA204" s="179"/>
      <c r="AJ204" s="179"/>
      <c r="AK204" s="179"/>
      <c r="AT204" s="179"/>
      <c r="AU204" s="179"/>
    </row>
    <row r="205" spans="6:47">
      <c r="F205" s="179"/>
      <c r="G205" s="179"/>
      <c r="P205" s="179"/>
      <c r="Q205" s="179"/>
      <c r="Z205" s="179"/>
      <c r="AA205" s="179"/>
      <c r="AJ205" s="179"/>
      <c r="AK205" s="179"/>
      <c r="AT205" s="179"/>
      <c r="AU205" s="179"/>
    </row>
    <row r="206" spans="6:47">
      <c r="F206" s="179"/>
      <c r="G206" s="179"/>
      <c r="P206" s="179"/>
      <c r="Q206" s="179"/>
      <c r="Z206" s="179"/>
      <c r="AA206" s="179"/>
      <c r="AJ206" s="179"/>
      <c r="AK206" s="179"/>
      <c r="AT206" s="179"/>
      <c r="AU206" s="179"/>
    </row>
    <row r="207" spans="6:47">
      <c r="F207" s="179"/>
      <c r="G207" s="179"/>
      <c r="P207" s="179"/>
      <c r="Q207" s="179"/>
      <c r="Z207" s="179"/>
      <c r="AA207" s="179"/>
      <c r="AJ207" s="179"/>
      <c r="AK207" s="179"/>
      <c r="AT207" s="179"/>
      <c r="AU207" s="179"/>
    </row>
    <row r="208" spans="6:47">
      <c r="F208" s="179"/>
      <c r="G208" s="179"/>
      <c r="P208" s="179"/>
      <c r="Q208" s="179"/>
      <c r="Z208" s="179"/>
      <c r="AA208" s="179"/>
      <c r="AJ208" s="179"/>
      <c r="AK208" s="179"/>
      <c r="AT208" s="179"/>
      <c r="AU208" s="179"/>
    </row>
    <row r="209" spans="6:47">
      <c r="F209" s="179"/>
      <c r="G209" s="179"/>
      <c r="P209" s="179"/>
      <c r="Q209" s="179"/>
      <c r="Z209" s="179"/>
      <c r="AA209" s="179"/>
      <c r="AJ209" s="179"/>
      <c r="AK209" s="179"/>
      <c r="AT209" s="179"/>
      <c r="AU209" s="179"/>
    </row>
    <row r="210" spans="6:47">
      <c r="F210" s="179"/>
      <c r="G210" s="179"/>
      <c r="P210" s="179"/>
      <c r="Q210" s="179"/>
      <c r="Z210" s="179"/>
      <c r="AA210" s="179"/>
      <c r="AJ210" s="179"/>
      <c r="AK210" s="179"/>
      <c r="AT210" s="179"/>
      <c r="AU210" s="179"/>
    </row>
    <row r="211" spans="6:47">
      <c r="F211" s="179"/>
      <c r="G211" s="179"/>
      <c r="P211" s="179"/>
      <c r="Q211" s="179"/>
      <c r="Z211" s="179"/>
      <c r="AA211" s="179"/>
      <c r="AJ211" s="179"/>
      <c r="AK211" s="179"/>
      <c r="AT211" s="179"/>
      <c r="AU211" s="179"/>
    </row>
    <row r="212" spans="6:47">
      <c r="F212" s="179"/>
      <c r="G212" s="179"/>
      <c r="P212" s="179"/>
      <c r="Q212" s="179"/>
      <c r="Z212" s="179"/>
      <c r="AA212" s="179"/>
      <c r="AJ212" s="179"/>
      <c r="AK212" s="179"/>
      <c r="AT212" s="179"/>
      <c r="AU212" s="179"/>
    </row>
    <row r="213" spans="6:47">
      <c r="F213" s="179"/>
      <c r="G213" s="179"/>
      <c r="P213" s="179"/>
      <c r="Q213" s="179"/>
      <c r="Z213" s="179"/>
      <c r="AA213" s="179"/>
      <c r="AJ213" s="179"/>
      <c r="AK213" s="179"/>
      <c r="AT213" s="179"/>
      <c r="AU213" s="179"/>
    </row>
    <row r="214" spans="6:47">
      <c r="F214" s="179"/>
      <c r="G214" s="179"/>
      <c r="P214" s="179"/>
      <c r="Q214" s="179"/>
      <c r="Z214" s="179"/>
      <c r="AA214" s="179"/>
      <c r="AJ214" s="179"/>
      <c r="AK214" s="179"/>
      <c r="AT214" s="179"/>
      <c r="AU214" s="179"/>
    </row>
    <row r="215" spans="6:47">
      <c r="F215" s="179"/>
      <c r="G215" s="179"/>
      <c r="P215" s="179"/>
      <c r="Q215" s="179"/>
      <c r="Z215" s="179"/>
      <c r="AA215" s="179"/>
      <c r="AJ215" s="179"/>
      <c r="AK215" s="179"/>
      <c r="AT215" s="179"/>
      <c r="AU215" s="179"/>
    </row>
    <row r="216" spans="6:47">
      <c r="F216" s="179"/>
      <c r="G216" s="179"/>
      <c r="P216" s="179"/>
      <c r="Q216" s="179"/>
      <c r="Z216" s="179"/>
      <c r="AA216" s="179"/>
      <c r="AJ216" s="179"/>
      <c r="AK216" s="179"/>
      <c r="AT216" s="179"/>
      <c r="AU216" s="179"/>
    </row>
    <row r="217" spans="6:47">
      <c r="F217" s="179"/>
      <c r="G217" s="179"/>
      <c r="P217" s="179"/>
      <c r="Q217" s="179"/>
      <c r="Z217" s="179"/>
      <c r="AA217" s="179"/>
      <c r="AJ217" s="179"/>
      <c r="AK217" s="179"/>
      <c r="AT217" s="179"/>
      <c r="AU217" s="179"/>
    </row>
    <row r="218" spans="6:47">
      <c r="F218" s="179"/>
      <c r="G218" s="179"/>
      <c r="P218" s="179"/>
      <c r="Q218" s="179"/>
      <c r="Z218" s="179"/>
      <c r="AA218" s="179"/>
      <c r="AJ218" s="179"/>
      <c r="AK218" s="179"/>
      <c r="AT218" s="179"/>
      <c r="AU218" s="179"/>
    </row>
    <row r="219" spans="6:47">
      <c r="F219" s="179"/>
      <c r="G219" s="179"/>
      <c r="P219" s="179"/>
      <c r="Q219" s="179"/>
      <c r="Z219" s="179"/>
      <c r="AA219" s="179"/>
      <c r="AJ219" s="179"/>
      <c r="AK219" s="179"/>
      <c r="AT219" s="179"/>
      <c r="AU219" s="179"/>
    </row>
    <row r="220" spans="6:47">
      <c r="F220" s="179"/>
      <c r="G220" s="179"/>
      <c r="P220" s="179"/>
      <c r="Q220" s="179"/>
      <c r="Z220" s="179"/>
      <c r="AA220" s="179"/>
      <c r="AJ220" s="179"/>
      <c r="AK220" s="179"/>
      <c r="AT220" s="179"/>
      <c r="AU220" s="179"/>
    </row>
    <row r="221" spans="6:47">
      <c r="F221" s="179"/>
      <c r="G221" s="179"/>
      <c r="P221" s="179"/>
      <c r="Q221" s="179"/>
      <c r="Z221" s="179"/>
      <c r="AA221" s="179"/>
      <c r="AJ221" s="179"/>
      <c r="AK221" s="179"/>
      <c r="AT221" s="179"/>
      <c r="AU221" s="179"/>
    </row>
    <row r="222" spans="6:47">
      <c r="F222" s="179"/>
      <c r="G222" s="179"/>
      <c r="P222" s="179"/>
      <c r="Q222" s="179"/>
      <c r="Z222" s="179"/>
      <c r="AA222" s="179"/>
      <c r="AJ222" s="179"/>
      <c r="AK222" s="179"/>
      <c r="AT222" s="179"/>
      <c r="AU222" s="179"/>
    </row>
    <row r="223" spans="6:47">
      <c r="F223" s="179"/>
      <c r="G223" s="179"/>
      <c r="P223" s="179"/>
      <c r="Q223" s="179"/>
      <c r="Z223" s="179"/>
      <c r="AA223" s="179"/>
      <c r="AJ223" s="179"/>
      <c r="AK223" s="179"/>
      <c r="AT223" s="179"/>
      <c r="AU223" s="179"/>
    </row>
    <row r="224" spans="6:47">
      <c r="F224" s="179"/>
      <c r="G224" s="179"/>
      <c r="P224" s="179"/>
      <c r="Q224" s="179"/>
      <c r="Z224" s="179"/>
      <c r="AA224" s="179"/>
      <c r="AJ224" s="179"/>
      <c r="AK224" s="179"/>
      <c r="AT224" s="179"/>
      <c r="AU224" s="179"/>
    </row>
    <row r="225" spans="6:47">
      <c r="F225" s="179"/>
      <c r="G225" s="179"/>
      <c r="P225" s="179"/>
      <c r="Q225" s="179"/>
      <c r="Z225" s="179"/>
      <c r="AA225" s="179"/>
      <c r="AJ225" s="179"/>
      <c r="AK225" s="179"/>
      <c r="AT225" s="179"/>
      <c r="AU225" s="179"/>
    </row>
    <row r="226" spans="6:47">
      <c r="F226" s="179"/>
      <c r="G226" s="179"/>
      <c r="P226" s="179"/>
      <c r="Q226" s="179"/>
      <c r="Z226" s="179"/>
      <c r="AA226" s="179"/>
      <c r="AJ226" s="179"/>
      <c r="AK226" s="179"/>
      <c r="AT226" s="179"/>
      <c r="AU226" s="179"/>
    </row>
    <row r="227" spans="6:47">
      <c r="F227" s="179"/>
      <c r="G227" s="179"/>
      <c r="P227" s="179"/>
      <c r="Q227" s="179"/>
      <c r="Z227" s="179"/>
      <c r="AA227" s="179"/>
      <c r="AJ227" s="179"/>
      <c r="AK227" s="179"/>
      <c r="AT227" s="179"/>
      <c r="AU227" s="179"/>
    </row>
    <row r="228" spans="6:47">
      <c r="F228" s="179"/>
      <c r="G228" s="179"/>
      <c r="P228" s="179"/>
      <c r="Q228" s="179"/>
      <c r="Z228" s="179"/>
      <c r="AA228" s="179"/>
      <c r="AJ228" s="179"/>
      <c r="AK228" s="179"/>
      <c r="AT228" s="179"/>
      <c r="AU228" s="179"/>
    </row>
    <row r="229" spans="6:47">
      <c r="F229" s="179"/>
      <c r="G229" s="179"/>
      <c r="P229" s="179"/>
      <c r="Q229" s="179"/>
      <c r="Z229" s="179"/>
      <c r="AA229" s="179"/>
      <c r="AJ229" s="179"/>
      <c r="AK229" s="179"/>
      <c r="AT229" s="179"/>
      <c r="AU229" s="179"/>
    </row>
    <row r="230" spans="6:47">
      <c r="F230" s="179"/>
      <c r="G230" s="179"/>
      <c r="P230" s="179"/>
      <c r="Q230" s="179"/>
      <c r="Z230" s="179"/>
      <c r="AA230" s="179"/>
      <c r="AJ230" s="179"/>
      <c r="AK230" s="179"/>
      <c r="AT230" s="179"/>
      <c r="AU230" s="179"/>
    </row>
    <row r="231" spans="6:47">
      <c r="F231" s="179"/>
      <c r="G231" s="179"/>
      <c r="P231" s="179"/>
      <c r="Q231" s="179"/>
      <c r="Z231" s="179"/>
      <c r="AA231" s="179"/>
      <c r="AJ231" s="179"/>
      <c r="AK231" s="179"/>
      <c r="AT231" s="179"/>
      <c r="AU231" s="179"/>
    </row>
    <row r="232" spans="6:47">
      <c r="F232" s="179"/>
      <c r="G232" s="179"/>
      <c r="P232" s="179"/>
      <c r="Q232" s="179"/>
      <c r="Z232" s="179"/>
      <c r="AA232" s="179"/>
      <c r="AJ232" s="179"/>
      <c r="AK232" s="179"/>
      <c r="AT232" s="179"/>
      <c r="AU232" s="179"/>
    </row>
    <row r="233" spans="6:47">
      <c r="F233" s="179"/>
      <c r="G233" s="179"/>
      <c r="P233" s="179"/>
      <c r="Q233" s="179"/>
      <c r="Z233" s="179"/>
      <c r="AA233" s="179"/>
      <c r="AJ233" s="179"/>
      <c r="AK233" s="179"/>
      <c r="AT233" s="179"/>
      <c r="AU233" s="179"/>
    </row>
    <row r="234" spans="6:47">
      <c r="F234" s="179"/>
      <c r="G234" s="179"/>
      <c r="P234" s="179"/>
      <c r="Q234" s="179"/>
      <c r="Z234" s="179"/>
      <c r="AA234" s="179"/>
      <c r="AJ234" s="179"/>
      <c r="AK234" s="179"/>
      <c r="AT234" s="179"/>
      <c r="AU234" s="179"/>
    </row>
    <row r="235" spans="6:47">
      <c r="F235" s="179"/>
      <c r="G235" s="179"/>
      <c r="P235" s="179"/>
      <c r="Q235" s="179"/>
      <c r="Z235" s="179"/>
      <c r="AA235" s="179"/>
      <c r="AJ235" s="179"/>
      <c r="AK235" s="179"/>
      <c r="AT235" s="179"/>
      <c r="AU235" s="179"/>
    </row>
    <row r="236" spans="6:47">
      <c r="F236" s="179"/>
      <c r="G236" s="179"/>
      <c r="P236" s="179"/>
      <c r="Q236" s="179"/>
      <c r="Z236" s="179"/>
      <c r="AA236" s="179"/>
      <c r="AJ236" s="179"/>
      <c r="AK236" s="179"/>
      <c r="AT236" s="179"/>
      <c r="AU236" s="179"/>
    </row>
    <row r="237" spans="6:47">
      <c r="F237" s="179"/>
      <c r="G237" s="179"/>
      <c r="P237" s="179"/>
      <c r="Q237" s="179"/>
      <c r="Z237" s="179"/>
      <c r="AA237" s="179"/>
      <c r="AJ237" s="179"/>
      <c r="AK237" s="179"/>
      <c r="AT237" s="179"/>
      <c r="AU237" s="179"/>
    </row>
    <row r="238" spans="6:47">
      <c r="F238" s="179"/>
      <c r="G238" s="179"/>
      <c r="P238" s="179"/>
      <c r="Q238" s="179"/>
      <c r="Z238" s="179"/>
      <c r="AA238" s="179"/>
      <c r="AJ238" s="179"/>
      <c r="AK238" s="179"/>
      <c r="AT238" s="179"/>
      <c r="AU238" s="179"/>
    </row>
    <row r="239" spans="6:47">
      <c r="F239" s="179"/>
      <c r="G239" s="179"/>
      <c r="P239" s="179"/>
      <c r="Q239" s="179"/>
      <c r="Z239" s="179"/>
      <c r="AA239" s="179"/>
      <c r="AJ239" s="179"/>
      <c r="AK239" s="179"/>
      <c r="AT239" s="179"/>
      <c r="AU239" s="179"/>
    </row>
    <row r="240" spans="6:47">
      <c r="F240" s="179"/>
      <c r="G240" s="179"/>
      <c r="P240" s="179"/>
      <c r="Q240" s="179"/>
      <c r="Z240" s="179"/>
      <c r="AA240" s="179"/>
      <c r="AJ240" s="179"/>
      <c r="AK240" s="179"/>
      <c r="AT240" s="179"/>
      <c r="AU240" s="179"/>
    </row>
    <row r="241" spans="6:47">
      <c r="F241" s="179"/>
      <c r="G241" s="179"/>
      <c r="P241" s="179"/>
      <c r="Q241" s="179"/>
      <c r="Z241" s="179"/>
      <c r="AA241" s="179"/>
      <c r="AJ241" s="179"/>
      <c r="AK241" s="179"/>
      <c r="AT241" s="179"/>
      <c r="AU241" s="179"/>
    </row>
    <row r="242" spans="6:47">
      <c r="F242" s="179"/>
      <c r="G242" s="179"/>
      <c r="P242" s="179"/>
      <c r="Q242" s="179"/>
      <c r="Z242" s="179"/>
      <c r="AA242" s="179"/>
      <c r="AJ242" s="179"/>
      <c r="AK242" s="179"/>
      <c r="AT242" s="179"/>
      <c r="AU242" s="179"/>
    </row>
    <row r="243" spans="6:47">
      <c r="F243" s="179"/>
      <c r="G243" s="179"/>
      <c r="P243" s="179"/>
      <c r="Q243" s="179"/>
      <c r="Z243" s="179"/>
      <c r="AA243" s="179"/>
      <c r="AJ243" s="179"/>
      <c r="AK243" s="179"/>
      <c r="AT243" s="179"/>
      <c r="AU243" s="179"/>
    </row>
    <row r="244" spans="6:47">
      <c r="F244" s="179"/>
      <c r="G244" s="179"/>
      <c r="P244" s="179"/>
      <c r="Q244" s="179"/>
      <c r="Z244" s="179"/>
      <c r="AA244" s="179"/>
      <c r="AJ244" s="179"/>
      <c r="AK244" s="179"/>
      <c r="AT244" s="179"/>
      <c r="AU244" s="179"/>
    </row>
    <row r="245" spans="6:47">
      <c r="F245" s="179"/>
      <c r="G245" s="179"/>
      <c r="P245" s="179"/>
      <c r="Q245" s="179"/>
      <c r="Z245" s="179"/>
      <c r="AA245" s="179"/>
      <c r="AJ245" s="179"/>
      <c r="AK245" s="179"/>
      <c r="AT245" s="179"/>
      <c r="AU245" s="179"/>
    </row>
    <row r="246" spans="6:47">
      <c r="F246" s="179"/>
      <c r="G246" s="179"/>
      <c r="P246" s="179"/>
      <c r="Q246" s="179"/>
      <c r="Z246" s="179"/>
      <c r="AA246" s="179"/>
      <c r="AJ246" s="179"/>
      <c r="AK246" s="179"/>
      <c r="AT246" s="179"/>
      <c r="AU246" s="179"/>
    </row>
    <row r="247" spans="6:47">
      <c r="F247" s="179"/>
      <c r="G247" s="179"/>
      <c r="P247" s="179"/>
      <c r="Q247" s="179"/>
      <c r="Z247" s="179"/>
      <c r="AA247" s="179"/>
      <c r="AJ247" s="179"/>
      <c r="AK247" s="179"/>
      <c r="AT247" s="179"/>
      <c r="AU247" s="179"/>
    </row>
    <row r="248" spans="6:47">
      <c r="F248" s="179"/>
      <c r="G248" s="179"/>
      <c r="P248" s="179"/>
      <c r="Q248" s="179"/>
      <c r="Z248" s="179"/>
      <c r="AA248" s="179"/>
      <c r="AJ248" s="179"/>
      <c r="AK248" s="179"/>
      <c r="AT248" s="179"/>
      <c r="AU248" s="179"/>
    </row>
    <row r="249" spans="6:47">
      <c r="F249" s="179"/>
      <c r="G249" s="179"/>
      <c r="P249" s="179"/>
      <c r="Q249" s="179"/>
      <c r="Z249" s="179"/>
      <c r="AA249" s="179"/>
      <c r="AJ249" s="179"/>
      <c r="AK249" s="179"/>
      <c r="AT249" s="179"/>
      <c r="AU249" s="179"/>
    </row>
    <row r="250" spans="6:47">
      <c r="F250" s="179"/>
      <c r="G250" s="179"/>
      <c r="P250" s="179"/>
      <c r="Q250" s="179"/>
      <c r="Z250" s="179"/>
      <c r="AA250" s="179"/>
      <c r="AJ250" s="179"/>
      <c r="AK250" s="179"/>
      <c r="AT250" s="179"/>
      <c r="AU250" s="179"/>
    </row>
    <row r="251" spans="6:47">
      <c r="F251" s="179"/>
      <c r="G251" s="179"/>
      <c r="P251" s="179"/>
      <c r="Q251" s="179"/>
      <c r="Z251" s="179"/>
      <c r="AA251" s="179"/>
      <c r="AJ251" s="179"/>
      <c r="AK251" s="179"/>
      <c r="AT251" s="179"/>
      <c r="AU251" s="179"/>
    </row>
    <row r="252" spans="6:47">
      <c r="F252" s="179"/>
      <c r="G252" s="179"/>
      <c r="P252" s="179"/>
      <c r="Q252" s="179"/>
      <c r="Z252" s="179"/>
      <c r="AA252" s="179"/>
      <c r="AJ252" s="179"/>
      <c r="AK252" s="179"/>
      <c r="AT252" s="179"/>
      <c r="AU252" s="179"/>
    </row>
    <row r="253" spans="6:47">
      <c r="F253" s="179"/>
      <c r="G253" s="179"/>
      <c r="P253" s="179"/>
      <c r="Q253" s="179"/>
      <c r="Z253" s="179"/>
      <c r="AA253" s="179"/>
      <c r="AJ253" s="179"/>
      <c r="AK253" s="179"/>
      <c r="AT253" s="179"/>
      <c r="AU253" s="179"/>
    </row>
    <row r="254" spans="6:47">
      <c r="F254" s="179"/>
      <c r="G254" s="179"/>
      <c r="P254" s="179"/>
      <c r="Q254" s="179"/>
      <c r="Z254" s="179"/>
      <c r="AA254" s="179"/>
      <c r="AJ254" s="179"/>
      <c r="AK254" s="179"/>
      <c r="AT254" s="179"/>
      <c r="AU254" s="179"/>
    </row>
    <row r="255" spans="6:47">
      <c r="F255" s="179"/>
      <c r="G255" s="179"/>
      <c r="P255" s="179"/>
      <c r="Q255" s="179"/>
      <c r="Z255" s="179"/>
      <c r="AA255" s="179"/>
      <c r="AJ255" s="179"/>
      <c r="AK255" s="179"/>
      <c r="AT255" s="179"/>
      <c r="AU255" s="179"/>
    </row>
    <row r="256" spans="6:47">
      <c r="F256" s="179"/>
      <c r="G256" s="179"/>
      <c r="P256" s="179"/>
      <c r="Q256" s="179"/>
      <c r="Z256" s="179"/>
      <c r="AA256" s="179"/>
      <c r="AJ256" s="179"/>
      <c r="AK256" s="179"/>
      <c r="AT256" s="179"/>
      <c r="AU256" s="179"/>
    </row>
    <row r="257" spans="6:47">
      <c r="F257" s="179"/>
      <c r="G257" s="179"/>
      <c r="P257" s="179"/>
      <c r="Q257" s="179"/>
      <c r="Z257" s="179"/>
      <c r="AA257" s="179"/>
      <c r="AJ257" s="179"/>
      <c r="AK257" s="179"/>
      <c r="AT257" s="179"/>
      <c r="AU257" s="179"/>
    </row>
    <row r="258" spans="6:47">
      <c r="F258" s="179"/>
      <c r="G258" s="179"/>
      <c r="P258" s="179"/>
      <c r="Q258" s="179"/>
      <c r="Z258" s="179"/>
      <c r="AA258" s="179"/>
      <c r="AJ258" s="179"/>
      <c r="AK258" s="179"/>
      <c r="AT258" s="179"/>
      <c r="AU258" s="179"/>
    </row>
    <row r="259" spans="6:47">
      <c r="F259" s="179"/>
      <c r="G259" s="179"/>
      <c r="P259" s="179"/>
      <c r="Q259" s="179"/>
      <c r="Z259" s="179"/>
      <c r="AA259" s="179"/>
      <c r="AJ259" s="179"/>
      <c r="AK259" s="179"/>
      <c r="AT259" s="179"/>
      <c r="AU259" s="179"/>
    </row>
    <row r="260" spans="6:47">
      <c r="F260" s="179"/>
      <c r="G260" s="179"/>
      <c r="P260" s="179"/>
      <c r="Q260" s="179"/>
      <c r="Z260" s="179"/>
      <c r="AA260" s="179"/>
      <c r="AJ260" s="179"/>
      <c r="AK260" s="179"/>
      <c r="AT260" s="179"/>
      <c r="AU260" s="179"/>
    </row>
    <row r="261" spans="6:47">
      <c r="F261" s="179"/>
      <c r="G261" s="179"/>
      <c r="P261" s="179"/>
      <c r="Q261" s="179"/>
      <c r="Z261" s="179"/>
      <c r="AA261" s="179"/>
      <c r="AJ261" s="179"/>
      <c r="AK261" s="179"/>
      <c r="AT261" s="179"/>
      <c r="AU261" s="179"/>
    </row>
    <row r="262" spans="6:47">
      <c r="F262" s="179"/>
      <c r="G262" s="179"/>
      <c r="P262" s="179"/>
      <c r="Q262" s="179"/>
      <c r="Z262" s="179"/>
      <c r="AA262" s="179"/>
      <c r="AJ262" s="179"/>
      <c r="AK262" s="179"/>
      <c r="AT262" s="179"/>
      <c r="AU262" s="179"/>
    </row>
    <row r="263" spans="6:47">
      <c r="F263" s="179"/>
      <c r="G263" s="179"/>
      <c r="P263" s="179"/>
      <c r="Q263" s="179"/>
      <c r="Z263" s="179"/>
      <c r="AA263" s="179"/>
      <c r="AJ263" s="179"/>
      <c r="AK263" s="179"/>
      <c r="AT263" s="179"/>
      <c r="AU263" s="179"/>
    </row>
  </sheetData>
  <sheetProtection algorithmName="SHA-512" hashValue="nHqtKkMMpOY8Qh6s9LFhG5HzXvOVTqhMX0ZxJMOKQ5bmm1n21QpRcjQR+y2iQXKWp+EEt66xo9hA+gMb7hdMug==" saltValue="FJFJS3QJVPWU78V8UxABXw==" spinCount="100000" sheet="1" objects="1" scenarios="1"/>
  <autoFilter ref="A10:GK126"/>
  <mergeCells count="93">
    <mergeCell ref="BC7:BC9"/>
    <mergeCell ref="B125:O126"/>
    <mergeCell ref="AV7:AV9"/>
    <mergeCell ref="AW7:AW9"/>
    <mergeCell ref="AX7:AX9"/>
    <mergeCell ref="AY7:AY9"/>
    <mergeCell ref="AZ7:AZ9"/>
    <mergeCell ref="BA7:BA9"/>
    <mergeCell ref="AP7:AP9"/>
    <mergeCell ref="AQ7:AQ9"/>
    <mergeCell ref="AR7:AR9"/>
    <mergeCell ref="AS7:AS9"/>
    <mergeCell ref="AT7:AT9"/>
    <mergeCell ref="AU7:AU9"/>
    <mergeCell ref="AC7:AC9"/>
    <mergeCell ref="AD7:AD9"/>
    <mergeCell ref="AE7:AE9"/>
    <mergeCell ref="AF7:AF9"/>
    <mergeCell ref="AG7:AG9"/>
    <mergeCell ref="BB7:BB9"/>
    <mergeCell ref="X7:X9"/>
    <mergeCell ref="Y7:Y9"/>
    <mergeCell ref="Z7:Z9"/>
    <mergeCell ref="AA7:AA9"/>
    <mergeCell ref="AB7:AB9"/>
    <mergeCell ref="R7:R9"/>
    <mergeCell ref="S7:S9"/>
    <mergeCell ref="T7:T9"/>
    <mergeCell ref="U7:U9"/>
    <mergeCell ref="V7:V9"/>
    <mergeCell ref="M7:M9"/>
    <mergeCell ref="N7:N9"/>
    <mergeCell ref="O7:O9"/>
    <mergeCell ref="P7:P9"/>
    <mergeCell ref="Q7:Q9"/>
    <mergeCell ref="D4:E4"/>
    <mergeCell ref="F4:J4"/>
    <mergeCell ref="L4:N4"/>
    <mergeCell ref="P4:T4"/>
    <mergeCell ref="V4:X4"/>
    <mergeCell ref="Z6:AD6"/>
    <mergeCell ref="F6:J6"/>
    <mergeCell ref="L6:N6"/>
    <mergeCell ref="P6:T6"/>
    <mergeCell ref="V6:X6"/>
    <mergeCell ref="F2:O3"/>
    <mergeCell ref="P2:Y3"/>
    <mergeCell ref="Z2:AI3"/>
    <mergeCell ref="AJ2:AS3"/>
    <mergeCell ref="Z4:AD4"/>
    <mergeCell ref="F5:J5"/>
    <mergeCell ref="L5:N5"/>
    <mergeCell ref="P5:T5"/>
    <mergeCell ref="V5:X5"/>
    <mergeCell ref="Z5:AD5"/>
    <mergeCell ref="A7:A9"/>
    <mergeCell ref="C7:C9"/>
    <mergeCell ref="AK7:AK9"/>
    <mergeCell ref="AL7:AL9"/>
    <mergeCell ref="AM7:AM9"/>
    <mergeCell ref="B7:B9"/>
    <mergeCell ref="D7:D9"/>
    <mergeCell ref="E7:E9"/>
    <mergeCell ref="F7:F9"/>
    <mergeCell ref="G7:G9"/>
    <mergeCell ref="H7:H9"/>
    <mergeCell ref="I7:I9"/>
    <mergeCell ref="J7:J9"/>
    <mergeCell ref="K7:K9"/>
    <mergeCell ref="W7:W9"/>
    <mergeCell ref="L7:L9"/>
    <mergeCell ref="AZ4:BB4"/>
    <mergeCell ref="AF5:AH5"/>
    <mergeCell ref="AJ5:AN5"/>
    <mergeCell ref="AP5:AR5"/>
    <mergeCell ref="AT5:AX5"/>
    <mergeCell ref="AZ5:BB5"/>
    <mergeCell ref="BD2:BD9"/>
    <mergeCell ref="AF4:AH4"/>
    <mergeCell ref="AJ4:AN4"/>
    <mergeCell ref="AP4:AR4"/>
    <mergeCell ref="AT4:AX4"/>
    <mergeCell ref="AT2:BC3"/>
    <mergeCell ref="AF6:AH6"/>
    <mergeCell ref="AJ6:AN6"/>
    <mergeCell ref="AP6:AR6"/>
    <mergeCell ref="AT6:AX6"/>
    <mergeCell ref="AZ6:BB6"/>
    <mergeCell ref="AO7:AO9"/>
    <mergeCell ref="AJ7:AJ9"/>
    <mergeCell ref="AI7:AI9"/>
    <mergeCell ref="AH7:AH9"/>
    <mergeCell ref="AN7:AN9"/>
  </mergeCells>
  <conditionalFormatting sqref="O127:O65536 O1 O4:O5 Y1 Y4:Y5 AI1 AI4:AI5 AS1 AS4:AS5 BC1 BC4:BC5 BC10:BD123 BC124 O10:O124 Y10:Y124 AI10:AI124 AS10:AS124">
    <cfRule type="cellIs" dxfId="6" priority="18" operator="lessThan">
      <formula>0</formula>
    </cfRule>
  </conditionalFormatting>
  <conditionalFormatting sqref="O4:O5 Y4:Y5 AI4:AI5 AS4:AS5 BC4:BC5 BC11:BD123 BC124 O11:O124 Y11:Y124 AI11:AI124 AS11:AS124">
    <cfRule type="cellIs" dxfId="5" priority="16" operator="lessThan">
      <formula>0</formula>
    </cfRule>
    <cfRule type="cellIs" dxfId="4" priority="17" operator="greaterThan">
      <formula>3504.135687</formula>
    </cfRule>
  </conditionalFormatting>
  <conditionalFormatting sqref="Y127:Y65536">
    <cfRule type="cellIs" dxfId="3" priority="15" operator="lessThan">
      <formula>0</formula>
    </cfRule>
  </conditionalFormatting>
  <conditionalFormatting sqref="AI127:AI65536">
    <cfRule type="cellIs" dxfId="2" priority="12" operator="lessThan">
      <formula>0</formula>
    </cfRule>
  </conditionalFormatting>
  <conditionalFormatting sqref="AS127:AS65536">
    <cfRule type="cellIs" dxfId="1" priority="9" operator="lessThan">
      <formula>0</formula>
    </cfRule>
  </conditionalFormatting>
  <conditionalFormatting sqref="BC127:BC65536">
    <cfRule type="cellIs" dxfId="0" priority="6" operator="lessThan">
      <formula>0</formula>
    </cfRule>
  </conditionalFormatting>
  <pageMargins left="0.511811024" right="0.511811024" top="0.78740157499999996" bottom="0.78740157499999996" header="0.31496062000000002" footer="0.31496062000000002"/>
  <pageSetup paperSize="9" scale="69" orientation="landscape" r:id="rId1"/>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B926"/>
  <sheetViews>
    <sheetView topLeftCell="A886" workbookViewId="0">
      <selection activeCell="B926" sqref="B926"/>
    </sheetView>
  </sheetViews>
  <sheetFormatPr defaultRowHeight="12.75"/>
  <cols>
    <col min="1" max="1" width="41.42578125" bestFit="1" customWidth="1"/>
    <col min="2" max="2" width="14.28515625" bestFit="1" customWidth="1"/>
  </cols>
  <sheetData>
    <row r="1" spans="1:2" ht="13.5" thickBot="1">
      <c r="A1" s="745" t="s">
        <v>1171</v>
      </c>
      <c r="B1" s="745" t="s">
        <v>3828</v>
      </c>
    </row>
    <row r="2" spans="1:2" ht="13.5" thickBot="1">
      <c r="A2" s="745"/>
      <c r="B2" s="745"/>
    </row>
    <row r="3" spans="1:2">
      <c r="A3" s="101" t="s">
        <v>145</v>
      </c>
      <c r="B3" s="425">
        <v>244.2</v>
      </c>
    </row>
    <row r="4" spans="1:2">
      <c r="A4" s="101" t="s">
        <v>3713</v>
      </c>
      <c r="B4" s="425">
        <v>148</v>
      </c>
    </row>
    <row r="5" spans="1:2">
      <c r="A5" s="101" t="s">
        <v>808</v>
      </c>
      <c r="B5" s="425">
        <v>183.6</v>
      </c>
    </row>
    <row r="6" spans="1:2">
      <c r="A6" s="101" t="s">
        <v>3791</v>
      </c>
      <c r="B6" s="425">
        <v>94.8</v>
      </c>
    </row>
    <row r="7" spans="1:2">
      <c r="A7" s="101" t="s">
        <v>3490</v>
      </c>
      <c r="B7" s="425">
        <v>199.8</v>
      </c>
    </row>
    <row r="8" spans="1:2" hidden="1">
      <c r="A8" s="101" t="s">
        <v>2427</v>
      </c>
      <c r="B8" s="425" t="e">
        <v>#N/A</v>
      </c>
    </row>
    <row r="9" spans="1:2">
      <c r="A9" s="101" t="s">
        <v>3634</v>
      </c>
      <c r="B9" s="425">
        <v>133.19999999999999</v>
      </c>
    </row>
    <row r="10" spans="1:2">
      <c r="A10" s="101" t="s">
        <v>3634</v>
      </c>
      <c r="B10" s="425">
        <v>133.19999999999999</v>
      </c>
    </row>
    <row r="11" spans="1:2">
      <c r="A11" s="101" t="s">
        <v>3443</v>
      </c>
      <c r="B11" s="425">
        <v>0</v>
      </c>
    </row>
    <row r="12" spans="1:2">
      <c r="A12" s="101" t="s">
        <v>3634</v>
      </c>
      <c r="B12" s="425">
        <v>133.19999999999999</v>
      </c>
    </row>
    <row r="13" spans="1:2">
      <c r="A13" s="101" t="s">
        <v>130</v>
      </c>
      <c r="B13" s="425">
        <v>222</v>
      </c>
    </row>
    <row r="14" spans="1:2">
      <c r="A14" s="101" t="s">
        <v>1249</v>
      </c>
      <c r="B14" s="425">
        <v>384.5</v>
      </c>
    </row>
    <row r="15" spans="1:2">
      <c r="A15" s="101" t="s">
        <v>852</v>
      </c>
      <c r="B15" s="425">
        <v>181.08</v>
      </c>
    </row>
    <row r="16" spans="1:2">
      <c r="A16" s="101" t="s">
        <v>917</v>
      </c>
      <c r="B16" s="425">
        <v>199.8</v>
      </c>
    </row>
    <row r="17" spans="1:2">
      <c r="A17" s="101" t="s">
        <v>3441</v>
      </c>
      <c r="B17" s="425">
        <v>133.19999999999999</v>
      </c>
    </row>
    <row r="18" spans="1:2">
      <c r="A18" s="101" t="s">
        <v>3442</v>
      </c>
      <c r="B18" s="425">
        <v>188.7</v>
      </c>
    </row>
    <row r="19" spans="1:2">
      <c r="A19" s="101" t="s">
        <v>677</v>
      </c>
      <c r="B19" s="425">
        <v>22.2</v>
      </c>
    </row>
    <row r="20" spans="1:2">
      <c r="A20" s="101" t="s">
        <v>2987</v>
      </c>
      <c r="B20" s="425">
        <v>155.4</v>
      </c>
    </row>
    <row r="21" spans="1:2">
      <c r="A21" s="101" t="s">
        <v>272</v>
      </c>
      <c r="B21" s="425">
        <v>146.69999999999999</v>
      </c>
    </row>
    <row r="22" spans="1:2">
      <c r="A22" s="101" t="s">
        <v>3066</v>
      </c>
      <c r="B22" s="425">
        <v>303.39999999999998</v>
      </c>
    </row>
    <row r="23" spans="1:2">
      <c r="A23" s="101" t="s">
        <v>3447</v>
      </c>
      <c r="B23" s="425">
        <v>293.39999999999998</v>
      </c>
    </row>
    <row r="24" spans="1:2">
      <c r="A24" s="101" t="s">
        <v>983</v>
      </c>
      <c r="B24" s="425">
        <v>51.8</v>
      </c>
    </row>
    <row r="25" spans="1:2">
      <c r="A25" s="101" t="s">
        <v>1324</v>
      </c>
      <c r="B25" s="425">
        <v>277</v>
      </c>
    </row>
    <row r="26" spans="1:2">
      <c r="A26" s="101" t="s">
        <v>2287</v>
      </c>
      <c r="B26" s="425">
        <v>220</v>
      </c>
    </row>
    <row r="27" spans="1:2">
      <c r="A27" s="101" t="s">
        <v>1105</v>
      </c>
      <c r="B27" s="425">
        <v>77.7</v>
      </c>
    </row>
    <row r="28" spans="1:2">
      <c r="A28" s="101" t="s">
        <v>3682</v>
      </c>
      <c r="B28" s="425">
        <v>148</v>
      </c>
    </row>
    <row r="29" spans="1:2">
      <c r="A29" s="101" t="s">
        <v>3445</v>
      </c>
      <c r="B29" s="425">
        <v>333</v>
      </c>
    </row>
    <row r="30" spans="1:2">
      <c r="A30" s="101" t="s">
        <v>3446</v>
      </c>
      <c r="B30" s="425">
        <v>333</v>
      </c>
    </row>
    <row r="31" spans="1:2">
      <c r="A31" s="101" t="s">
        <v>1292</v>
      </c>
      <c r="B31" s="425">
        <v>199.8</v>
      </c>
    </row>
    <row r="32" spans="1:2">
      <c r="A32" s="101" t="s">
        <v>3452</v>
      </c>
      <c r="B32" s="425">
        <v>133.19999999999999</v>
      </c>
    </row>
    <row r="33" spans="1:2">
      <c r="A33" s="101" t="s">
        <v>3065</v>
      </c>
      <c r="B33" s="425">
        <v>199.8</v>
      </c>
    </row>
    <row r="34" spans="1:2">
      <c r="A34" s="101" t="s">
        <v>3695</v>
      </c>
      <c r="B34" s="425">
        <v>201.2</v>
      </c>
    </row>
    <row r="35" spans="1:2">
      <c r="A35" s="101" t="s">
        <v>271</v>
      </c>
      <c r="B35" s="425">
        <v>284.39999999999998</v>
      </c>
    </row>
    <row r="36" spans="1:2">
      <c r="A36" s="101" t="s">
        <v>3099</v>
      </c>
      <c r="B36" s="425">
        <v>174.6</v>
      </c>
    </row>
    <row r="37" spans="1:2" hidden="1">
      <c r="A37" s="101" t="s">
        <v>3742</v>
      </c>
      <c r="B37" s="425" t="e">
        <v>#N/A</v>
      </c>
    </row>
    <row r="38" spans="1:2">
      <c r="A38" s="101" t="s">
        <v>325</v>
      </c>
      <c r="B38" s="425">
        <v>181.08</v>
      </c>
    </row>
    <row r="39" spans="1:2">
      <c r="A39" s="101" t="s">
        <v>3034</v>
      </c>
      <c r="B39" s="425">
        <v>199.8</v>
      </c>
    </row>
    <row r="40" spans="1:2">
      <c r="A40" s="101" t="s">
        <v>629</v>
      </c>
      <c r="B40" s="425">
        <v>133.19999999999999</v>
      </c>
    </row>
    <row r="41" spans="1:2" hidden="1">
      <c r="A41" s="101" t="s">
        <v>2235</v>
      </c>
      <c r="B41" s="425" t="e">
        <v>#N/A</v>
      </c>
    </row>
    <row r="42" spans="1:2">
      <c r="A42" s="101" t="s">
        <v>3453</v>
      </c>
      <c r="B42" s="425">
        <v>199.8</v>
      </c>
    </row>
    <row r="43" spans="1:2">
      <c r="A43" s="101" t="s">
        <v>3454</v>
      </c>
      <c r="B43" s="425">
        <v>199.8</v>
      </c>
    </row>
    <row r="44" spans="1:2">
      <c r="A44" s="101" t="s">
        <v>1214</v>
      </c>
      <c r="B44" s="425">
        <v>199.8</v>
      </c>
    </row>
    <row r="45" spans="1:2">
      <c r="A45" s="101" t="s">
        <v>2321</v>
      </c>
      <c r="B45" s="425">
        <v>176.2</v>
      </c>
    </row>
    <row r="46" spans="1:2">
      <c r="A46" s="101" t="s">
        <v>826</v>
      </c>
      <c r="B46" s="425">
        <v>148</v>
      </c>
    </row>
    <row r="47" spans="1:2">
      <c r="A47" s="101" t="s">
        <v>3659</v>
      </c>
      <c r="B47" s="425">
        <v>35.6</v>
      </c>
    </row>
    <row r="48" spans="1:2">
      <c r="A48" s="101" t="s">
        <v>3117</v>
      </c>
      <c r="B48" s="425">
        <v>199.8</v>
      </c>
    </row>
    <row r="49" spans="1:2">
      <c r="A49" s="101" t="s">
        <v>3629</v>
      </c>
      <c r="B49" s="425">
        <v>133.19999999999999</v>
      </c>
    </row>
    <row r="50" spans="1:2">
      <c r="A50" s="101" t="s">
        <v>2994</v>
      </c>
      <c r="B50" s="425">
        <v>148</v>
      </c>
    </row>
    <row r="51" spans="1:2">
      <c r="A51" s="101" t="s">
        <v>3787</v>
      </c>
      <c r="B51" s="425">
        <v>29.6</v>
      </c>
    </row>
    <row r="52" spans="1:2">
      <c r="A52" s="101" t="s">
        <v>3455</v>
      </c>
      <c r="B52" s="425">
        <v>88.8</v>
      </c>
    </row>
    <row r="53" spans="1:2">
      <c r="A53" s="101" t="s">
        <v>2299</v>
      </c>
      <c r="B53" s="425">
        <v>133.19999999999999</v>
      </c>
    </row>
    <row r="54" spans="1:2">
      <c r="A54" s="101" t="s">
        <v>1136</v>
      </c>
      <c r="B54" s="425">
        <v>77.7</v>
      </c>
    </row>
    <row r="55" spans="1:2">
      <c r="A55" s="101" t="s">
        <v>3667</v>
      </c>
      <c r="B55" s="425">
        <v>121</v>
      </c>
    </row>
    <row r="56" spans="1:2">
      <c r="A56" s="101" t="s">
        <v>1126</v>
      </c>
      <c r="B56" s="425">
        <v>295</v>
      </c>
    </row>
    <row r="57" spans="1:2" hidden="1">
      <c r="A57" s="101" t="s">
        <v>2425</v>
      </c>
      <c r="B57" s="425" t="e">
        <v>#N/A</v>
      </c>
    </row>
    <row r="58" spans="1:2">
      <c r="A58" s="101" t="s">
        <v>3673</v>
      </c>
      <c r="B58" s="425">
        <v>155.4</v>
      </c>
    </row>
    <row r="59" spans="1:2">
      <c r="A59" s="101" t="s">
        <v>3456</v>
      </c>
      <c r="B59" s="425">
        <v>133.19999999999999</v>
      </c>
    </row>
    <row r="60" spans="1:2">
      <c r="A60" s="101" t="s">
        <v>2263</v>
      </c>
      <c r="B60" s="425">
        <v>316.8</v>
      </c>
    </row>
    <row r="61" spans="1:2">
      <c r="A61" s="101" t="s">
        <v>1239</v>
      </c>
      <c r="B61" s="425">
        <v>122.1</v>
      </c>
    </row>
    <row r="62" spans="1:2">
      <c r="A62" s="101" t="s">
        <v>3662</v>
      </c>
      <c r="B62" s="425">
        <v>148</v>
      </c>
    </row>
    <row r="63" spans="1:2">
      <c r="A63" s="101" t="s">
        <v>3526</v>
      </c>
      <c r="B63" s="425">
        <v>316.8</v>
      </c>
    </row>
    <row r="64" spans="1:2">
      <c r="A64" s="101" t="s">
        <v>3690</v>
      </c>
      <c r="B64" s="425">
        <v>148</v>
      </c>
    </row>
    <row r="65" spans="1:2">
      <c r="A65" s="101" t="s">
        <v>3702</v>
      </c>
      <c r="B65" s="425">
        <v>406</v>
      </c>
    </row>
    <row r="66" spans="1:2">
      <c r="A66" s="101" t="s">
        <v>2990</v>
      </c>
      <c r="B66" s="425">
        <v>160.96</v>
      </c>
    </row>
    <row r="67" spans="1:2">
      <c r="A67" s="101" t="s">
        <v>3489</v>
      </c>
      <c r="B67" s="425">
        <v>133.19999999999999</v>
      </c>
    </row>
    <row r="68" spans="1:2">
      <c r="A68" s="101" t="s">
        <v>733</v>
      </c>
      <c r="B68" s="425">
        <v>145.30000000000001</v>
      </c>
    </row>
    <row r="69" spans="1:2">
      <c r="A69" s="101" t="s">
        <v>3016</v>
      </c>
      <c r="B69" s="425">
        <v>487.8</v>
      </c>
    </row>
    <row r="70" spans="1:2">
      <c r="A70" s="101" t="s">
        <v>3056</v>
      </c>
      <c r="B70" s="425">
        <v>333</v>
      </c>
    </row>
    <row r="71" spans="1:2">
      <c r="A71" s="101" t="s">
        <v>2430</v>
      </c>
      <c r="B71" s="425">
        <v>325.60000000000002</v>
      </c>
    </row>
    <row r="72" spans="1:2">
      <c r="A72" s="101" t="s">
        <v>3479</v>
      </c>
      <c r="B72" s="425">
        <v>240.5</v>
      </c>
    </row>
    <row r="73" spans="1:2">
      <c r="A73" s="101" t="s">
        <v>818</v>
      </c>
      <c r="B73" s="425">
        <v>257.8</v>
      </c>
    </row>
    <row r="74" spans="1:2">
      <c r="A74" s="101" t="s">
        <v>1034</v>
      </c>
      <c r="B74" s="425">
        <v>96.3</v>
      </c>
    </row>
    <row r="75" spans="1:2">
      <c r="A75" s="101" t="s">
        <v>3668</v>
      </c>
      <c r="B75" s="425">
        <v>81.599999999999994</v>
      </c>
    </row>
    <row r="76" spans="1:2">
      <c r="A76" s="101" t="s">
        <v>3079</v>
      </c>
      <c r="B76" s="425">
        <v>0</v>
      </c>
    </row>
    <row r="77" spans="1:2">
      <c r="A77" s="101" t="s">
        <v>3689</v>
      </c>
      <c r="B77" s="425">
        <v>148</v>
      </c>
    </row>
    <row r="78" spans="1:2">
      <c r="A78" s="101" t="s">
        <v>419</v>
      </c>
      <c r="B78" s="425">
        <v>462.6</v>
      </c>
    </row>
    <row r="79" spans="1:2">
      <c r="A79" s="101" t="s">
        <v>514</v>
      </c>
      <c r="B79" s="425">
        <v>177.6</v>
      </c>
    </row>
    <row r="80" spans="1:2" hidden="1">
      <c r="A80" s="101" t="s">
        <v>3823</v>
      </c>
      <c r="B80" s="425" t="e">
        <v>#N/A</v>
      </c>
    </row>
    <row r="81" spans="1:2">
      <c r="A81" s="101" t="s">
        <v>3529</v>
      </c>
      <c r="B81" s="425">
        <v>294.60000000000002</v>
      </c>
    </row>
    <row r="82" spans="1:2">
      <c r="A82" s="101" t="s">
        <v>634</v>
      </c>
      <c r="B82" s="425">
        <v>286.89999999999998</v>
      </c>
    </row>
    <row r="83" spans="1:2">
      <c r="A83" s="101" t="s">
        <v>3457</v>
      </c>
      <c r="B83" s="425">
        <v>18.399999999999999</v>
      </c>
    </row>
    <row r="84" spans="1:2">
      <c r="A84" s="101" t="s">
        <v>3528</v>
      </c>
      <c r="B84" s="425">
        <v>127.8</v>
      </c>
    </row>
    <row r="85" spans="1:2">
      <c r="A85" s="101" t="s">
        <v>978</v>
      </c>
      <c r="B85" s="425">
        <v>199.8</v>
      </c>
    </row>
    <row r="86" spans="1:2">
      <c r="A86" s="101" t="s">
        <v>3448</v>
      </c>
      <c r="B86" s="425">
        <v>74</v>
      </c>
    </row>
    <row r="87" spans="1:2">
      <c r="A87" s="101" t="s">
        <v>3098</v>
      </c>
      <c r="B87" s="425">
        <v>288.60000000000002</v>
      </c>
    </row>
    <row r="88" spans="1:2">
      <c r="A88" s="101" t="s">
        <v>3661</v>
      </c>
      <c r="B88" s="425">
        <v>140.84</v>
      </c>
    </row>
    <row r="89" spans="1:2">
      <c r="A89" s="101" t="s">
        <v>1083</v>
      </c>
      <c r="B89" s="425">
        <v>337.5</v>
      </c>
    </row>
    <row r="90" spans="1:2">
      <c r="A90" s="101" t="s">
        <v>3112</v>
      </c>
      <c r="B90" s="425">
        <v>199.8</v>
      </c>
    </row>
    <row r="91" spans="1:2">
      <c r="A91" s="101" t="s">
        <v>3660</v>
      </c>
      <c r="B91" s="425">
        <v>148</v>
      </c>
    </row>
    <row r="92" spans="1:2">
      <c r="A92" s="101" t="s">
        <v>1288</v>
      </c>
      <c r="B92" s="425">
        <v>125.8</v>
      </c>
    </row>
    <row r="93" spans="1:2">
      <c r="A93" s="101" t="s">
        <v>3444</v>
      </c>
      <c r="B93" s="425">
        <v>166.5</v>
      </c>
    </row>
    <row r="94" spans="1:2">
      <c r="A94" s="101" t="s">
        <v>3091</v>
      </c>
      <c r="B94" s="425">
        <v>293.39999999999998</v>
      </c>
    </row>
    <row r="95" spans="1:2">
      <c r="A95" s="101" t="s">
        <v>3789</v>
      </c>
      <c r="B95" s="425">
        <v>408</v>
      </c>
    </row>
    <row r="96" spans="1:2">
      <c r="A96" s="101" t="s">
        <v>3092</v>
      </c>
      <c r="B96" s="425">
        <v>155.4</v>
      </c>
    </row>
    <row r="97" spans="1:2">
      <c r="A97" s="101" t="s">
        <v>1023</v>
      </c>
      <c r="B97" s="425">
        <v>133.19999999999999</v>
      </c>
    </row>
    <row r="98" spans="1:2">
      <c r="A98" s="101" t="s">
        <v>3018</v>
      </c>
      <c r="B98" s="425">
        <v>181.08</v>
      </c>
    </row>
    <row r="99" spans="1:2">
      <c r="A99" s="101" t="s">
        <v>3621</v>
      </c>
      <c r="B99" s="425">
        <v>148</v>
      </c>
    </row>
    <row r="100" spans="1:2">
      <c r="A100" s="101" t="s">
        <v>3790</v>
      </c>
      <c r="B100" s="425">
        <v>88.8</v>
      </c>
    </row>
    <row r="101" spans="1:2">
      <c r="A101" s="101" t="s">
        <v>3450</v>
      </c>
      <c r="B101" s="425">
        <v>144.30000000000001</v>
      </c>
    </row>
    <row r="102" spans="1:2">
      <c r="A102" s="101" t="s">
        <v>2433</v>
      </c>
      <c r="B102" s="425">
        <v>133.19999999999999</v>
      </c>
    </row>
    <row r="103" spans="1:2">
      <c r="A103" s="101" t="s">
        <v>3451</v>
      </c>
      <c r="B103" s="425">
        <v>11.1</v>
      </c>
    </row>
    <row r="104" spans="1:2">
      <c r="A104" s="101" t="s">
        <v>3021</v>
      </c>
      <c r="B104" s="425">
        <v>133.19999999999999</v>
      </c>
    </row>
    <row r="105" spans="1:2">
      <c r="A105" s="101" t="s">
        <v>2356</v>
      </c>
      <c r="B105" s="425">
        <v>278.60000000000002</v>
      </c>
    </row>
    <row r="106" spans="1:2">
      <c r="A106" s="101" t="s">
        <v>3530</v>
      </c>
      <c r="B106" s="425">
        <v>133.19999999999999</v>
      </c>
    </row>
    <row r="107" spans="1:2">
      <c r="A107" s="101" t="s">
        <v>3531</v>
      </c>
      <c r="B107" s="425">
        <v>125.8</v>
      </c>
    </row>
    <row r="108" spans="1:2">
      <c r="A108" s="101" t="s">
        <v>3436</v>
      </c>
      <c r="B108" s="425">
        <v>277.5</v>
      </c>
    </row>
    <row r="109" spans="1:2">
      <c r="A109" s="101" t="s">
        <v>3437</v>
      </c>
      <c r="B109" s="425">
        <v>133.19999999999999</v>
      </c>
    </row>
    <row r="110" spans="1:2">
      <c r="A110" s="101" t="s">
        <v>348</v>
      </c>
      <c r="B110" s="425">
        <v>222</v>
      </c>
    </row>
    <row r="111" spans="1:2">
      <c r="A111" s="101" t="s">
        <v>3438</v>
      </c>
      <c r="B111" s="425">
        <v>125.8</v>
      </c>
    </row>
    <row r="112" spans="1:2">
      <c r="A112" s="101" t="s">
        <v>3541</v>
      </c>
      <c r="B112" s="425">
        <v>266.39999999999998</v>
      </c>
    </row>
    <row r="113" spans="1:2">
      <c r="A113" s="101" t="s">
        <v>3439</v>
      </c>
      <c r="B113" s="425">
        <v>412</v>
      </c>
    </row>
    <row r="114" spans="1:2">
      <c r="A114" s="101" t="s">
        <v>811</v>
      </c>
      <c r="B114" s="425">
        <v>111</v>
      </c>
    </row>
    <row r="115" spans="1:2">
      <c r="A115" s="101" t="s">
        <v>3627</v>
      </c>
      <c r="B115" s="425">
        <v>316.8</v>
      </c>
    </row>
    <row r="116" spans="1:2">
      <c r="A116" s="101" t="s">
        <v>3440</v>
      </c>
      <c r="B116" s="425">
        <v>325.60000000000002</v>
      </c>
    </row>
    <row r="117" spans="1:2">
      <c r="A117" s="101" t="s">
        <v>940</v>
      </c>
      <c r="B117" s="425">
        <v>228.6</v>
      </c>
    </row>
    <row r="118" spans="1:2">
      <c r="A118" s="101" t="s">
        <v>424</v>
      </c>
      <c r="B118" s="425">
        <v>316.8</v>
      </c>
    </row>
    <row r="119" spans="1:2">
      <c r="A119" s="101" t="s">
        <v>901</v>
      </c>
      <c r="B119" s="425">
        <v>352</v>
      </c>
    </row>
    <row r="120" spans="1:2">
      <c r="A120" s="101" t="s">
        <v>3115</v>
      </c>
      <c r="B120" s="425">
        <v>16.3</v>
      </c>
    </row>
    <row r="121" spans="1:2" hidden="1">
      <c r="A121" s="101" t="s">
        <v>3809</v>
      </c>
      <c r="B121" s="425" t="e">
        <v>#N/A</v>
      </c>
    </row>
    <row r="122" spans="1:2">
      <c r="A122" s="101" t="s">
        <v>1161</v>
      </c>
      <c r="B122" s="425">
        <v>295.2</v>
      </c>
    </row>
    <row r="123" spans="1:2">
      <c r="A123" s="101" t="s">
        <v>1142</v>
      </c>
      <c r="B123" s="425">
        <v>77.7</v>
      </c>
    </row>
    <row r="124" spans="1:2">
      <c r="A124" s="101" t="s">
        <v>3624</v>
      </c>
      <c r="B124" s="425">
        <v>214.6</v>
      </c>
    </row>
    <row r="125" spans="1:2">
      <c r="A125" s="101" t="s">
        <v>621</v>
      </c>
      <c r="B125" s="425">
        <v>262.39999999999998</v>
      </c>
    </row>
    <row r="126" spans="1:2">
      <c r="A126" s="101" t="s">
        <v>3449</v>
      </c>
      <c r="B126" s="425">
        <v>144.30000000000001</v>
      </c>
    </row>
    <row r="127" spans="1:2">
      <c r="A127" s="101" t="s">
        <v>591</v>
      </c>
      <c r="B127" s="425">
        <v>133.19999999999999</v>
      </c>
    </row>
    <row r="128" spans="1:2" hidden="1">
      <c r="A128" s="101" t="s">
        <v>3743</v>
      </c>
      <c r="B128" s="425" t="e">
        <v>#N/A</v>
      </c>
    </row>
    <row r="129" spans="1:2">
      <c r="A129" s="101" t="s">
        <v>152</v>
      </c>
      <c r="B129" s="425">
        <v>181.08</v>
      </c>
    </row>
    <row r="130" spans="1:2">
      <c r="A130" s="101" t="s">
        <v>361</v>
      </c>
      <c r="B130" s="425">
        <v>133.19999999999999</v>
      </c>
    </row>
    <row r="131" spans="1:2">
      <c r="A131" s="101" t="s">
        <v>2327</v>
      </c>
      <c r="B131" s="425">
        <v>148</v>
      </c>
    </row>
    <row r="132" spans="1:2">
      <c r="A132" s="101" t="s">
        <v>829</v>
      </c>
      <c r="B132" s="425">
        <v>148</v>
      </c>
    </row>
    <row r="133" spans="1:2">
      <c r="A133" s="101" t="s">
        <v>1287</v>
      </c>
      <c r="B133" s="425">
        <v>222</v>
      </c>
    </row>
    <row r="134" spans="1:2">
      <c r="A134" s="101" t="s">
        <v>2185</v>
      </c>
      <c r="B134" s="425">
        <v>151.19999999999999</v>
      </c>
    </row>
    <row r="135" spans="1:2">
      <c r="A135" s="101" t="s">
        <v>3701</v>
      </c>
      <c r="B135" s="425">
        <v>259</v>
      </c>
    </row>
    <row r="136" spans="1:2">
      <c r="A136" s="101" t="s">
        <v>3035</v>
      </c>
      <c r="B136" s="425">
        <v>199.8</v>
      </c>
    </row>
    <row r="137" spans="1:2">
      <c r="A137" s="101" t="s">
        <v>1063</v>
      </c>
      <c r="B137" s="425">
        <v>296</v>
      </c>
    </row>
    <row r="138" spans="1:2">
      <c r="A138" s="101" t="s">
        <v>3111</v>
      </c>
      <c r="B138" s="425">
        <v>0</v>
      </c>
    </row>
    <row r="139" spans="1:2">
      <c r="A139" s="101" t="s">
        <v>491</v>
      </c>
      <c r="B139" s="425">
        <v>279.8</v>
      </c>
    </row>
    <row r="140" spans="1:2">
      <c r="A140" s="101" t="s">
        <v>587</v>
      </c>
      <c r="B140" s="425">
        <v>181.08</v>
      </c>
    </row>
    <row r="141" spans="1:2">
      <c r="A141" s="101" t="s">
        <v>722</v>
      </c>
      <c r="B141" s="425">
        <v>66.599999999999994</v>
      </c>
    </row>
    <row r="142" spans="1:2">
      <c r="A142" s="101" t="s">
        <v>724</v>
      </c>
      <c r="B142" s="425">
        <v>122.1</v>
      </c>
    </row>
    <row r="143" spans="1:2" hidden="1">
      <c r="A143" s="101" t="s">
        <v>743</v>
      </c>
      <c r="B143" s="425" t="e">
        <v>#N/A</v>
      </c>
    </row>
    <row r="144" spans="1:2">
      <c r="A144" s="101" t="s">
        <v>3664</v>
      </c>
      <c r="B144" s="425">
        <v>204</v>
      </c>
    </row>
    <row r="145" spans="1:2" hidden="1">
      <c r="A145" s="101" t="s">
        <v>873</v>
      </c>
      <c r="B145" s="425" t="e">
        <v>#N/A</v>
      </c>
    </row>
    <row r="146" spans="1:2">
      <c r="A146" s="101" t="s">
        <v>3718</v>
      </c>
      <c r="B146" s="425">
        <v>178</v>
      </c>
    </row>
    <row r="147" spans="1:2">
      <c r="A147" s="101" t="s">
        <v>1031</v>
      </c>
      <c r="B147" s="425">
        <v>182.7</v>
      </c>
    </row>
    <row r="148" spans="1:2" hidden="1">
      <c r="A148" s="101" t="s">
        <v>3797</v>
      </c>
      <c r="B148" s="425" t="e">
        <v>#N/A</v>
      </c>
    </row>
    <row r="149" spans="1:2">
      <c r="A149" s="101" t="s">
        <v>1162</v>
      </c>
      <c r="B149" s="425">
        <v>199.8</v>
      </c>
    </row>
    <row r="150" spans="1:2">
      <c r="A150" s="101" t="s">
        <v>516</v>
      </c>
      <c r="B150" s="425">
        <v>111</v>
      </c>
    </row>
    <row r="151" spans="1:2">
      <c r="A151" s="101" t="s">
        <v>571</v>
      </c>
      <c r="B151" s="425">
        <v>202.2</v>
      </c>
    </row>
    <row r="152" spans="1:2">
      <c r="A152" s="101" t="s">
        <v>3007</v>
      </c>
      <c r="B152" s="425">
        <v>293.39999999999998</v>
      </c>
    </row>
    <row r="153" spans="1:2">
      <c r="A153" s="101" t="s">
        <v>3726</v>
      </c>
      <c r="B153" s="425">
        <v>195</v>
      </c>
    </row>
    <row r="154" spans="1:2" hidden="1">
      <c r="A154" s="101" t="s">
        <v>741</v>
      </c>
      <c r="B154" s="425" t="e">
        <v>#N/A</v>
      </c>
    </row>
    <row r="155" spans="1:2">
      <c r="A155" s="101" t="s">
        <v>3677</v>
      </c>
      <c r="B155" s="425">
        <v>301.2</v>
      </c>
    </row>
    <row r="156" spans="1:2">
      <c r="A156" s="101" t="s">
        <v>805</v>
      </c>
      <c r="B156" s="425">
        <v>388.8</v>
      </c>
    </row>
    <row r="157" spans="1:2">
      <c r="A157" s="101" t="s">
        <v>1045</v>
      </c>
      <c r="B157" s="425">
        <v>181.08</v>
      </c>
    </row>
    <row r="158" spans="1:2">
      <c r="A158" s="101" t="s">
        <v>1076</v>
      </c>
      <c r="B158" s="425">
        <v>62.3</v>
      </c>
    </row>
    <row r="159" spans="1:2" hidden="1">
      <c r="A159" s="101" t="s">
        <v>3741</v>
      </c>
      <c r="B159" s="425" t="e">
        <v>#N/A</v>
      </c>
    </row>
    <row r="160" spans="1:2">
      <c r="A160" s="101" t="s">
        <v>1130</v>
      </c>
      <c r="B160" s="425">
        <v>281.2</v>
      </c>
    </row>
    <row r="161" spans="1:2">
      <c r="A161" s="101" t="s">
        <v>1164</v>
      </c>
      <c r="B161" s="425">
        <v>177.6</v>
      </c>
    </row>
    <row r="162" spans="1:2">
      <c r="A162" s="101" t="s">
        <v>586</v>
      </c>
      <c r="B162" s="425">
        <v>293.39999999999998</v>
      </c>
    </row>
    <row r="163" spans="1:2">
      <c r="A163" s="101" t="s">
        <v>989</v>
      </c>
      <c r="B163" s="425">
        <v>289.8</v>
      </c>
    </row>
    <row r="164" spans="1:2">
      <c r="A164" s="101" t="s">
        <v>3704</v>
      </c>
      <c r="B164" s="425">
        <v>250.6</v>
      </c>
    </row>
    <row r="165" spans="1:2">
      <c r="A165" s="101" t="s">
        <v>2218</v>
      </c>
      <c r="B165" s="425">
        <v>144.30000000000001</v>
      </c>
    </row>
    <row r="166" spans="1:2">
      <c r="A166" s="101" t="s">
        <v>3614</v>
      </c>
      <c r="B166" s="425">
        <v>284.5</v>
      </c>
    </row>
    <row r="167" spans="1:2">
      <c r="A167" s="101" t="s">
        <v>2993</v>
      </c>
      <c r="B167" s="425">
        <v>96.2</v>
      </c>
    </row>
    <row r="168" spans="1:2">
      <c r="A168" s="101" t="s">
        <v>754</v>
      </c>
      <c r="B168" s="425">
        <v>82.8</v>
      </c>
    </row>
    <row r="169" spans="1:2" hidden="1">
      <c r="A169" s="101" t="s">
        <v>1049</v>
      </c>
      <c r="B169" s="425" t="e">
        <v>#N/A</v>
      </c>
    </row>
    <row r="170" spans="1:2">
      <c r="A170" s="101" t="s">
        <v>871</v>
      </c>
      <c r="B170" s="425">
        <v>133.19999999999999</v>
      </c>
    </row>
    <row r="171" spans="1:2">
      <c r="A171" s="101" t="s">
        <v>652</v>
      </c>
      <c r="B171" s="425">
        <v>188.7</v>
      </c>
    </row>
    <row r="172" spans="1:2">
      <c r="A172" s="101" t="s">
        <v>1158</v>
      </c>
      <c r="B172" s="425">
        <v>293.39999999999998</v>
      </c>
    </row>
    <row r="173" spans="1:2">
      <c r="A173" s="101" t="s">
        <v>497</v>
      </c>
      <c r="B173" s="425">
        <v>293.39999999999998</v>
      </c>
    </row>
    <row r="174" spans="1:2">
      <c r="A174" s="101" t="s">
        <v>716</v>
      </c>
      <c r="B174" s="425">
        <v>268.8</v>
      </c>
    </row>
    <row r="175" spans="1:2" hidden="1">
      <c r="A175" s="101" t="s">
        <v>740</v>
      </c>
      <c r="B175" s="425" t="e">
        <v>#N/A</v>
      </c>
    </row>
    <row r="176" spans="1:2">
      <c r="A176" s="101" t="s">
        <v>872</v>
      </c>
      <c r="B176" s="425">
        <v>51.8</v>
      </c>
    </row>
    <row r="177" spans="1:2" hidden="1">
      <c r="A177" s="101" t="s">
        <v>3792</v>
      </c>
      <c r="B177" s="425" t="e">
        <v>#N/A</v>
      </c>
    </row>
    <row r="178" spans="1:2">
      <c r="A178" s="101" t="s">
        <v>876</v>
      </c>
      <c r="B178" s="425">
        <v>293.39999999999998</v>
      </c>
    </row>
    <row r="179" spans="1:2">
      <c r="A179" s="101" t="s">
        <v>877</v>
      </c>
      <c r="B179" s="425">
        <v>0</v>
      </c>
    </row>
    <row r="180" spans="1:2" hidden="1">
      <c r="A180" s="101" t="s">
        <v>3821</v>
      </c>
      <c r="B180" s="425" t="e">
        <v>#N/A</v>
      </c>
    </row>
    <row r="181" spans="1:2">
      <c r="A181" s="101" t="s">
        <v>3534</v>
      </c>
      <c r="B181" s="425">
        <v>99.9</v>
      </c>
    </row>
    <row r="182" spans="1:2">
      <c r="A182" s="101" t="s">
        <v>2206</v>
      </c>
      <c r="B182" s="425">
        <v>133.5</v>
      </c>
    </row>
    <row r="183" spans="1:2" hidden="1">
      <c r="A183" s="101" t="s">
        <v>3</v>
      </c>
      <c r="B183" s="425" t="e">
        <v>#N/A</v>
      </c>
    </row>
    <row r="184" spans="1:2" hidden="1">
      <c r="A184" s="101" t="s">
        <v>3696</v>
      </c>
      <c r="B184" s="425" t="e">
        <v>#N/A</v>
      </c>
    </row>
    <row r="185" spans="1:2">
      <c r="A185" s="101" t="s">
        <v>3796</v>
      </c>
      <c r="B185" s="425">
        <v>130.78</v>
      </c>
    </row>
    <row r="186" spans="1:2" hidden="1">
      <c r="A186" s="101" t="s">
        <v>1192</v>
      </c>
      <c r="B186" s="425" t="e">
        <v>#N/A</v>
      </c>
    </row>
    <row r="187" spans="1:2" hidden="1">
      <c r="A187" s="101" t="s">
        <v>2184</v>
      </c>
      <c r="B187" s="425" t="e">
        <v>#N/A</v>
      </c>
    </row>
    <row r="188" spans="1:2" hidden="1">
      <c r="A188" s="101" t="s">
        <v>5</v>
      </c>
      <c r="B188" s="425" t="e">
        <v>#N/A</v>
      </c>
    </row>
    <row r="189" spans="1:2" hidden="1">
      <c r="A189" s="101" t="s">
        <v>6</v>
      </c>
      <c r="B189" s="425" t="e">
        <v>#N/A</v>
      </c>
    </row>
    <row r="190" spans="1:2" hidden="1">
      <c r="A190" s="101" t="s">
        <v>3032</v>
      </c>
      <c r="B190" s="425" t="e">
        <v>#N/A</v>
      </c>
    </row>
    <row r="191" spans="1:2">
      <c r="A191" s="101" t="s">
        <v>8</v>
      </c>
      <c r="B191" s="425">
        <v>169.1</v>
      </c>
    </row>
    <row r="192" spans="1:2">
      <c r="A192" s="101" t="s">
        <v>1307</v>
      </c>
      <c r="B192" s="425">
        <v>284.89999999999998</v>
      </c>
    </row>
    <row r="193" spans="1:2" hidden="1">
      <c r="A193" s="101" t="s">
        <v>9</v>
      </c>
      <c r="B193" s="425" t="e">
        <v>#N/A</v>
      </c>
    </row>
    <row r="194" spans="1:2">
      <c r="A194" s="101" t="s">
        <v>10</v>
      </c>
      <c r="B194" s="425">
        <v>247.2</v>
      </c>
    </row>
    <row r="195" spans="1:2" hidden="1">
      <c r="A195" s="101" t="s">
        <v>11</v>
      </c>
      <c r="B195" s="425" t="e">
        <v>#N/A</v>
      </c>
    </row>
    <row r="196" spans="1:2">
      <c r="A196" s="101" t="s">
        <v>12</v>
      </c>
      <c r="B196" s="425">
        <v>262.8</v>
      </c>
    </row>
    <row r="197" spans="1:2" hidden="1">
      <c r="A197" s="101" t="s">
        <v>1200</v>
      </c>
      <c r="B197" s="425" t="e">
        <v>#N/A</v>
      </c>
    </row>
    <row r="198" spans="1:2" hidden="1">
      <c r="A198" s="101" t="s">
        <v>13</v>
      </c>
      <c r="B198" s="425" t="e">
        <v>#N/A</v>
      </c>
    </row>
    <row r="199" spans="1:2">
      <c r="A199" s="101" t="s">
        <v>601</v>
      </c>
      <c r="B199" s="425">
        <v>289.8</v>
      </c>
    </row>
    <row r="200" spans="1:2" hidden="1">
      <c r="A200" s="101" t="s">
        <v>647</v>
      </c>
      <c r="B200" s="425" t="e">
        <v>#N/A</v>
      </c>
    </row>
    <row r="201" spans="1:2">
      <c r="A201" s="101" t="s">
        <v>16</v>
      </c>
      <c r="B201" s="425">
        <v>44.4</v>
      </c>
    </row>
    <row r="202" spans="1:2">
      <c r="A202" s="101" t="s">
        <v>17</v>
      </c>
      <c r="B202" s="425">
        <v>312</v>
      </c>
    </row>
    <row r="203" spans="1:2">
      <c r="A203" s="101" t="s">
        <v>1004</v>
      </c>
      <c r="B203" s="425">
        <v>133.19999999999999</v>
      </c>
    </row>
    <row r="204" spans="1:2">
      <c r="A204" s="101" t="s">
        <v>18</v>
      </c>
      <c r="B204" s="425">
        <v>210.9</v>
      </c>
    </row>
    <row r="205" spans="1:2" hidden="1">
      <c r="A205" s="101" t="s">
        <v>19</v>
      </c>
      <c r="B205" s="425" t="e">
        <v>#N/A</v>
      </c>
    </row>
    <row r="206" spans="1:2" hidden="1">
      <c r="A206" s="101" t="s">
        <v>20</v>
      </c>
      <c r="B206" s="425" t="e">
        <v>#N/A</v>
      </c>
    </row>
    <row r="207" spans="1:2" hidden="1">
      <c r="A207" s="101" t="s">
        <v>21</v>
      </c>
      <c r="B207" s="425" t="e">
        <v>#N/A</v>
      </c>
    </row>
    <row r="208" spans="1:2" hidden="1">
      <c r="A208" s="101" t="s">
        <v>1316</v>
      </c>
      <c r="B208" s="425" t="e">
        <v>#N/A</v>
      </c>
    </row>
    <row r="209" spans="1:2" hidden="1">
      <c r="A209" s="101" t="s">
        <v>22</v>
      </c>
      <c r="B209" s="425" t="e">
        <v>#N/A</v>
      </c>
    </row>
    <row r="210" spans="1:2">
      <c r="A210" s="101" t="s">
        <v>23</v>
      </c>
      <c r="B210" s="425">
        <v>230</v>
      </c>
    </row>
    <row r="211" spans="1:2">
      <c r="A211" s="101" t="s">
        <v>24</v>
      </c>
      <c r="B211" s="425">
        <v>116.55</v>
      </c>
    </row>
    <row r="212" spans="1:2">
      <c r="A212" s="101" t="s">
        <v>3535</v>
      </c>
      <c r="B212" s="425">
        <v>77.7</v>
      </c>
    </row>
    <row r="213" spans="1:2">
      <c r="A213" s="101" t="s">
        <v>1325</v>
      </c>
      <c r="B213" s="425">
        <v>59.2</v>
      </c>
    </row>
    <row r="214" spans="1:2">
      <c r="A214" s="101" t="s">
        <v>27</v>
      </c>
      <c r="B214" s="425">
        <v>46</v>
      </c>
    </row>
    <row r="215" spans="1:2">
      <c r="A215" s="101" t="s">
        <v>28</v>
      </c>
      <c r="B215" s="425">
        <v>177.6</v>
      </c>
    </row>
    <row r="216" spans="1:2" hidden="1">
      <c r="A216" s="101" t="s">
        <v>1262</v>
      </c>
      <c r="B216" s="425" t="e">
        <v>#N/A</v>
      </c>
    </row>
    <row r="217" spans="1:2" hidden="1">
      <c r="A217" s="101" t="s">
        <v>29</v>
      </c>
      <c r="B217" s="425" t="e">
        <v>#N/A</v>
      </c>
    </row>
    <row r="218" spans="1:2">
      <c r="A218" s="101" t="s">
        <v>30</v>
      </c>
      <c r="B218" s="425">
        <v>140.6</v>
      </c>
    </row>
    <row r="219" spans="1:2" hidden="1">
      <c r="A219" s="101" t="s">
        <v>31</v>
      </c>
      <c r="B219" s="425" t="e">
        <v>#N/A</v>
      </c>
    </row>
    <row r="220" spans="1:2" hidden="1">
      <c r="A220" s="101" t="s">
        <v>32</v>
      </c>
      <c r="B220" s="425" t="e">
        <v>#N/A</v>
      </c>
    </row>
    <row r="221" spans="1:2">
      <c r="A221" s="101" t="s">
        <v>33</v>
      </c>
      <c r="B221" s="425">
        <v>400</v>
      </c>
    </row>
    <row r="222" spans="1:2" hidden="1">
      <c r="A222" s="101" t="s">
        <v>34</v>
      </c>
      <c r="B222" s="425" t="e">
        <v>#N/A</v>
      </c>
    </row>
    <row r="223" spans="1:2" hidden="1">
      <c r="A223" s="101" t="s">
        <v>35</v>
      </c>
      <c r="B223" s="425" t="e">
        <v>#N/A</v>
      </c>
    </row>
    <row r="224" spans="1:2" hidden="1">
      <c r="A224" s="101" t="s">
        <v>1052</v>
      </c>
      <c r="B224" s="425" t="e">
        <v>#N/A</v>
      </c>
    </row>
    <row r="225" spans="1:2">
      <c r="A225" s="101" t="s">
        <v>3523</v>
      </c>
      <c r="B225" s="425">
        <v>81.400000000000006</v>
      </c>
    </row>
    <row r="226" spans="1:2">
      <c r="A226" s="101" t="s">
        <v>38</v>
      </c>
      <c r="B226" s="425">
        <v>302</v>
      </c>
    </row>
    <row r="227" spans="1:2">
      <c r="A227" s="101" t="s">
        <v>39</v>
      </c>
      <c r="B227" s="425">
        <v>210.9</v>
      </c>
    </row>
    <row r="228" spans="1:2" hidden="1">
      <c r="A228" s="101" t="s">
        <v>40</v>
      </c>
      <c r="B228" s="425" t="e">
        <v>#N/A</v>
      </c>
    </row>
    <row r="229" spans="1:2" hidden="1">
      <c r="A229" s="101" t="s">
        <v>69</v>
      </c>
      <c r="B229" s="425" t="e">
        <v>#N/A</v>
      </c>
    </row>
    <row r="230" spans="1:2">
      <c r="A230" s="101" t="s">
        <v>43</v>
      </c>
      <c r="B230" s="425">
        <v>512</v>
      </c>
    </row>
    <row r="231" spans="1:2" hidden="1">
      <c r="A231" s="101" t="s">
        <v>44</v>
      </c>
      <c r="B231" s="425" t="e">
        <v>#N/A</v>
      </c>
    </row>
    <row r="232" spans="1:2">
      <c r="A232" s="101" t="s">
        <v>1322</v>
      </c>
      <c r="B232" s="425">
        <v>238.2</v>
      </c>
    </row>
    <row r="233" spans="1:2" hidden="1">
      <c r="A233" s="101" t="s">
        <v>50</v>
      </c>
      <c r="B233" s="425" t="e">
        <v>#N/A</v>
      </c>
    </row>
    <row r="234" spans="1:2">
      <c r="A234" s="101" t="s">
        <v>2294</v>
      </c>
      <c r="B234" s="425">
        <v>148</v>
      </c>
    </row>
    <row r="235" spans="1:2">
      <c r="A235" s="101" t="s">
        <v>3014</v>
      </c>
      <c r="B235" s="425">
        <v>125.8</v>
      </c>
    </row>
    <row r="236" spans="1:2">
      <c r="A236" s="101" t="s">
        <v>2258</v>
      </c>
      <c r="B236" s="425">
        <v>199.8</v>
      </c>
    </row>
    <row r="237" spans="1:2">
      <c r="A237" s="101" t="s">
        <v>1329</v>
      </c>
      <c r="B237" s="425">
        <v>118.4</v>
      </c>
    </row>
    <row r="238" spans="1:2">
      <c r="A238" s="101" t="s">
        <v>3658</v>
      </c>
      <c r="B238" s="425">
        <v>325.2</v>
      </c>
    </row>
    <row r="239" spans="1:2">
      <c r="A239" s="101" t="s">
        <v>839</v>
      </c>
      <c r="B239" s="425">
        <v>246.7</v>
      </c>
    </row>
    <row r="240" spans="1:2">
      <c r="A240" s="101" t="s">
        <v>742</v>
      </c>
      <c r="B240" s="425">
        <v>203.5</v>
      </c>
    </row>
    <row r="241" spans="1:2" hidden="1">
      <c r="A241" s="101" t="s">
        <v>3798</v>
      </c>
      <c r="B241" s="425" t="e">
        <v>#N/A</v>
      </c>
    </row>
    <row r="242" spans="1:2">
      <c r="A242" s="101" t="s">
        <v>665</v>
      </c>
      <c r="B242" s="425">
        <v>275.60000000000002</v>
      </c>
    </row>
    <row r="243" spans="1:2" hidden="1">
      <c r="A243" s="101" t="s">
        <v>3799</v>
      </c>
      <c r="B243" s="425" t="e">
        <v>#N/A</v>
      </c>
    </row>
    <row r="244" spans="1:2">
      <c r="A244" s="101" t="s">
        <v>2985</v>
      </c>
      <c r="B244" s="425">
        <v>81.400000000000006</v>
      </c>
    </row>
    <row r="245" spans="1:2">
      <c r="A245" s="101" t="s">
        <v>694</v>
      </c>
      <c r="B245" s="425">
        <v>111</v>
      </c>
    </row>
    <row r="246" spans="1:2">
      <c r="A246" s="101" t="s">
        <v>3680</v>
      </c>
      <c r="B246" s="425">
        <v>281.2</v>
      </c>
    </row>
    <row r="247" spans="1:2">
      <c r="A247" s="101" t="s">
        <v>1050</v>
      </c>
      <c r="B247" s="425">
        <v>133.19999999999999</v>
      </c>
    </row>
    <row r="248" spans="1:2">
      <c r="A248" s="101" t="s">
        <v>3536</v>
      </c>
      <c r="B248" s="425">
        <v>229.4</v>
      </c>
    </row>
    <row r="249" spans="1:2">
      <c r="A249" s="101" t="s">
        <v>224</v>
      </c>
      <c r="B249" s="425">
        <v>59.2</v>
      </c>
    </row>
    <row r="250" spans="1:2">
      <c r="A250" s="101" t="s">
        <v>413</v>
      </c>
      <c r="B250" s="425">
        <v>308.60000000000002</v>
      </c>
    </row>
    <row r="251" spans="1:2">
      <c r="A251" s="101" t="s">
        <v>3057</v>
      </c>
      <c r="B251" s="425">
        <v>0</v>
      </c>
    </row>
    <row r="252" spans="1:2">
      <c r="A252" s="101" t="s">
        <v>3636</v>
      </c>
      <c r="B252" s="425">
        <v>223.8</v>
      </c>
    </row>
    <row r="253" spans="1:2">
      <c r="A253" s="101" t="s">
        <v>3458</v>
      </c>
      <c r="B253" s="425">
        <v>207.2</v>
      </c>
    </row>
    <row r="254" spans="1:2">
      <c r="A254" s="101" t="s">
        <v>1039</v>
      </c>
      <c r="B254" s="425">
        <v>111</v>
      </c>
    </row>
    <row r="255" spans="1:2">
      <c r="A255" s="101" t="s">
        <v>667</v>
      </c>
      <c r="B255" s="425">
        <v>166.5</v>
      </c>
    </row>
    <row r="256" spans="1:2">
      <c r="A256" s="101" t="s">
        <v>670</v>
      </c>
      <c r="B256" s="425">
        <v>166.5</v>
      </c>
    </row>
    <row r="257" spans="1:2">
      <c r="A257" s="101" t="s">
        <v>721</v>
      </c>
      <c r="B257" s="425">
        <v>218.3</v>
      </c>
    </row>
    <row r="258" spans="1:2">
      <c r="A258" s="101" t="s">
        <v>3679</v>
      </c>
      <c r="B258" s="425">
        <v>103.6</v>
      </c>
    </row>
    <row r="259" spans="1:2">
      <c r="A259" s="101" t="s">
        <v>1026</v>
      </c>
      <c r="B259" s="425">
        <v>234</v>
      </c>
    </row>
    <row r="260" spans="1:2">
      <c r="A260" s="101" t="s">
        <v>1035</v>
      </c>
      <c r="B260" s="425">
        <v>177.6</v>
      </c>
    </row>
    <row r="261" spans="1:2">
      <c r="A261" s="101" t="s">
        <v>1157</v>
      </c>
      <c r="B261" s="425">
        <v>88.8</v>
      </c>
    </row>
    <row r="262" spans="1:2" hidden="1">
      <c r="A262" s="101" t="s">
        <v>3641</v>
      </c>
      <c r="B262" s="425" t="e">
        <v>#N/A</v>
      </c>
    </row>
    <row r="263" spans="1:2">
      <c r="A263" s="101" t="s">
        <v>3715</v>
      </c>
      <c r="B263" s="425">
        <v>165</v>
      </c>
    </row>
    <row r="264" spans="1:2">
      <c r="A264" s="101" t="s">
        <v>3537</v>
      </c>
      <c r="B264" s="425">
        <v>118.4</v>
      </c>
    </row>
    <row r="265" spans="1:2">
      <c r="A265" s="101" t="s">
        <v>3700</v>
      </c>
      <c r="B265" s="425">
        <v>302.39999999999998</v>
      </c>
    </row>
    <row r="266" spans="1:2" hidden="1">
      <c r="A266" s="101" t="s">
        <v>3736</v>
      </c>
      <c r="B266" s="425" t="e">
        <v>#N/A</v>
      </c>
    </row>
    <row r="267" spans="1:2">
      <c r="A267" s="101" t="s">
        <v>177</v>
      </c>
      <c r="B267" s="425">
        <v>88.8</v>
      </c>
    </row>
    <row r="268" spans="1:2">
      <c r="A268" s="101" t="s">
        <v>2988</v>
      </c>
      <c r="B268" s="425">
        <v>268.5</v>
      </c>
    </row>
    <row r="269" spans="1:2">
      <c r="A269" s="101" t="s">
        <v>1085</v>
      </c>
      <c r="B269" s="425">
        <v>111</v>
      </c>
    </row>
    <row r="270" spans="1:2">
      <c r="A270" s="101" t="s">
        <v>300</v>
      </c>
      <c r="B270" s="425">
        <v>126.4</v>
      </c>
    </row>
    <row r="271" spans="1:2" hidden="1">
      <c r="A271" s="101" t="s">
        <v>3814</v>
      </c>
      <c r="B271" s="425" t="e">
        <v>#N/A</v>
      </c>
    </row>
    <row r="272" spans="1:2">
      <c r="A272" s="101" t="s">
        <v>371</v>
      </c>
      <c r="B272" s="425">
        <v>144.30000000000001</v>
      </c>
    </row>
    <row r="273" spans="1:2">
      <c r="A273" s="101" t="s">
        <v>510</v>
      </c>
      <c r="B273" s="425">
        <v>165.1</v>
      </c>
    </row>
    <row r="274" spans="1:2">
      <c r="A274" s="101" t="s">
        <v>527</v>
      </c>
      <c r="B274" s="425">
        <v>148</v>
      </c>
    </row>
    <row r="275" spans="1:2">
      <c r="A275" s="101" t="s">
        <v>950</v>
      </c>
      <c r="B275" s="425">
        <v>111</v>
      </c>
    </row>
    <row r="276" spans="1:2">
      <c r="A276" s="101" t="s">
        <v>718</v>
      </c>
      <c r="B276" s="425">
        <v>177.6</v>
      </c>
    </row>
    <row r="277" spans="1:2">
      <c r="A277" s="101" t="s">
        <v>744</v>
      </c>
      <c r="B277" s="425">
        <v>111</v>
      </c>
    </row>
    <row r="278" spans="1:2">
      <c r="A278" s="101" t="s">
        <v>987</v>
      </c>
      <c r="B278" s="425">
        <v>177.6</v>
      </c>
    </row>
    <row r="279" spans="1:2">
      <c r="A279" s="101" t="s">
        <v>1017</v>
      </c>
      <c r="B279" s="425">
        <v>118.4</v>
      </c>
    </row>
    <row r="280" spans="1:2">
      <c r="A280" s="101" t="s">
        <v>3735</v>
      </c>
      <c r="B280" s="425">
        <v>118.4</v>
      </c>
    </row>
    <row r="281" spans="1:2">
      <c r="A281" s="101" t="s">
        <v>1082</v>
      </c>
      <c r="B281" s="425">
        <v>144.30000000000001</v>
      </c>
    </row>
    <row r="282" spans="1:2">
      <c r="A282" s="101" t="s">
        <v>3459</v>
      </c>
      <c r="B282" s="425">
        <v>118.4</v>
      </c>
    </row>
    <row r="283" spans="1:2" hidden="1">
      <c r="A283" s="101" t="s">
        <v>1167</v>
      </c>
      <c r="B283" s="425" t="e">
        <v>#N/A</v>
      </c>
    </row>
    <row r="284" spans="1:2">
      <c r="A284" s="101" t="s">
        <v>1151</v>
      </c>
      <c r="B284" s="425">
        <v>144.30000000000001</v>
      </c>
    </row>
    <row r="285" spans="1:2" hidden="1">
      <c r="A285" s="101" t="s">
        <v>3816</v>
      </c>
      <c r="B285" s="425" t="e">
        <v>#N/A</v>
      </c>
    </row>
    <row r="286" spans="1:2">
      <c r="A286" s="101" t="s">
        <v>1103</v>
      </c>
      <c r="B286" s="425">
        <v>205.1</v>
      </c>
    </row>
    <row r="287" spans="1:2">
      <c r="A287" s="101" t="s">
        <v>1077</v>
      </c>
      <c r="B287" s="425">
        <v>181.08</v>
      </c>
    </row>
    <row r="288" spans="1:2">
      <c r="A288" s="101" t="s">
        <v>158</v>
      </c>
      <c r="B288" s="425">
        <v>90.54</v>
      </c>
    </row>
    <row r="289" spans="1:2" hidden="1">
      <c r="A289" s="101" t="s">
        <v>3737</v>
      </c>
      <c r="B289" s="425" t="e">
        <v>#N/A</v>
      </c>
    </row>
    <row r="290" spans="1:2">
      <c r="A290" s="101" t="s">
        <v>3694</v>
      </c>
      <c r="B290" s="425">
        <v>236.8</v>
      </c>
    </row>
    <row r="291" spans="1:2">
      <c r="A291" s="101" t="s">
        <v>3460</v>
      </c>
      <c r="B291" s="425">
        <v>133.19999999999999</v>
      </c>
    </row>
    <row r="292" spans="1:2">
      <c r="A292" s="101" t="s">
        <v>233</v>
      </c>
      <c r="B292" s="425">
        <v>133.19999999999999</v>
      </c>
    </row>
    <row r="293" spans="1:2" hidden="1">
      <c r="A293" s="101" t="s">
        <v>236</v>
      </c>
      <c r="B293" s="425" t="e">
        <v>#N/A</v>
      </c>
    </row>
    <row r="294" spans="1:2">
      <c r="A294" s="101" t="s">
        <v>3539</v>
      </c>
      <c r="B294" s="425">
        <v>266.39999999999998</v>
      </c>
    </row>
    <row r="295" spans="1:2">
      <c r="A295" s="101" t="s">
        <v>247</v>
      </c>
      <c r="B295" s="425">
        <v>275.10000000000002</v>
      </c>
    </row>
    <row r="296" spans="1:2">
      <c r="A296" s="101" t="s">
        <v>252</v>
      </c>
      <c r="B296" s="425">
        <v>199.8</v>
      </c>
    </row>
    <row r="297" spans="1:2">
      <c r="A297" s="101" t="s">
        <v>262</v>
      </c>
      <c r="B297" s="425">
        <v>221.4</v>
      </c>
    </row>
    <row r="298" spans="1:2">
      <c r="A298" s="101" t="s">
        <v>266</v>
      </c>
      <c r="B298" s="425">
        <v>171.02</v>
      </c>
    </row>
    <row r="299" spans="1:2" hidden="1">
      <c r="A299" s="101" t="s">
        <v>3807</v>
      </c>
      <c r="B299" s="425" t="e">
        <v>#N/A</v>
      </c>
    </row>
    <row r="300" spans="1:2">
      <c r="A300" s="101" t="s">
        <v>280</v>
      </c>
      <c r="B300" s="425">
        <v>148</v>
      </c>
    </row>
    <row r="301" spans="1:2" hidden="1">
      <c r="A301" s="101" t="s">
        <v>1227</v>
      </c>
      <c r="B301" s="425" t="e">
        <v>#N/A</v>
      </c>
    </row>
    <row r="302" spans="1:2">
      <c r="A302" s="101" t="s">
        <v>281</v>
      </c>
      <c r="B302" s="425">
        <v>222</v>
      </c>
    </row>
    <row r="303" spans="1:2">
      <c r="A303" s="101" t="s">
        <v>318</v>
      </c>
      <c r="B303" s="425">
        <v>316.8</v>
      </c>
    </row>
    <row r="304" spans="1:2">
      <c r="A304" s="101" t="s">
        <v>593</v>
      </c>
      <c r="B304" s="425">
        <v>165.6</v>
      </c>
    </row>
    <row r="305" spans="1:2">
      <c r="A305" s="101" t="s">
        <v>782</v>
      </c>
      <c r="B305" s="425">
        <v>146.69999999999999</v>
      </c>
    </row>
    <row r="306" spans="1:2">
      <c r="A306" s="101" t="s">
        <v>3616</v>
      </c>
      <c r="B306" s="425">
        <v>133.19999999999999</v>
      </c>
    </row>
    <row r="307" spans="1:2">
      <c r="A307" s="101" t="s">
        <v>3461</v>
      </c>
      <c r="B307" s="425">
        <v>131.19999999999999</v>
      </c>
    </row>
    <row r="308" spans="1:2">
      <c r="A308" s="101" t="s">
        <v>802</v>
      </c>
      <c r="B308" s="425">
        <v>271.2</v>
      </c>
    </row>
    <row r="309" spans="1:2">
      <c r="A309" s="101" t="s">
        <v>3721</v>
      </c>
      <c r="B309" s="425">
        <v>79.5</v>
      </c>
    </row>
    <row r="310" spans="1:2">
      <c r="A310" s="101" t="s">
        <v>1064</v>
      </c>
      <c r="B310" s="425">
        <v>51.8</v>
      </c>
    </row>
    <row r="311" spans="1:2">
      <c r="A311" s="101" t="s">
        <v>3620</v>
      </c>
      <c r="B311" s="425">
        <v>133.19999999999999</v>
      </c>
    </row>
    <row r="312" spans="1:2">
      <c r="A312" s="101" t="s">
        <v>398</v>
      </c>
      <c r="B312" s="425">
        <v>156</v>
      </c>
    </row>
    <row r="313" spans="1:2">
      <c r="A313" s="101" t="s">
        <v>402</v>
      </c>
      <c r="B313" s="425">
        <v>289</v>
      </c>
    </row>
    <row r="314" spans="1:2">
      <c r="A314" s="101" t="s">
        <v>407</v>
      </c>
      <c r="B314" s="425">
        <v>133.19999999999999</v>
      </c>
    </row>
    <row r="315" spans="1:2">
      <c r="A315" s="101" t="s">
        <v>418</v>
      </c>
      <c r="B315" s="425">
        <v>296</v>
      </c>
    </row>
    <row r="316" spans="1:2">
      <c r="A316" s="101" t="s">
        <v>432</v>
      </c>
      <c r="B316" s="425">
        <v>199.8</v>
      </c>
    </row>
    <row r="317" spans="1:2">
      <c r="A317" s="101" t="s">
        <v>2434</v>
      </c>
      <c r="B317" s="425">
        <v>158.4</v>
      </c>
    </row>
    <row r="318" spans="1:2" hidden="1">
      <c r="A318" s="101" t="s">
        <v>3813</v>
      </c>
      <c r="B318" s="425" t="e">
        <v>#N/A</v>
      </c>
    </row>
    <row r="319" spans="1:2">
      <c r="A319" s="101" t="s">
        <v>463</v>
      </c>
      <c r="B319" s="425">
        <v>325.60000000000002</v>
      </c>
    </row>
    <row r="320" spans="1:2">
      <c r="A320" s="101" t="s">
        <v>468</v>
      </c>
      <c r="B320" s="425">
        <v>222</v>
      </c>
    </row>
    <row r="321" spans="1:2">
      <c r="A321" s="101" t="s">
        <v>476</v>
      </c>
      <c r="B321" s="425">
        <v>146.69999999999999</v>
      </c>
    </row>
    <row r="322" spans="1:2">
      <c r="A322" s="101" t="s">
        <v>477</v>
      </c>
      <c r="B322" s="425">
        <v>103.6</v>
      </c>
    </row>
    <row r="323" spans="1:2">
      <c r="A323" s="101" t="s">
        <v>480</v>
      </c>
      <c r="B323" s="425">
        <v>188.7</v>
      </c>
    </row>
    <row r="324" spans="1:2">
      <c r="A324" s="101" t="s">
        <v>484</v>
      </c>
      <c r="B324" s="425">
        <v>0</v>
      </c>
    </row>
    <row r="325" spans="1:2" hidden="1">
      <c r="A325" s="101" t="s">
        <v>3802</v>
      </c>
      <c r="B325" s="425" t="e">
        <v>#N/A</v>
      </c>
    </row>
    <row r="326" spans="1:2">
      <c r="A326" s="101" t="s">
        <v>487</v>
      </c>
      <c r="B326" s="425">
        <v>280.8</v>
      </c>
    </row>
    <row r="327" spans="1:2">
      <c r="A327" s="101" t="s">
        <v>506</v>
      </c>
      <c r="B327" s="425">
        <v>266.39999999999998</v>
      </c>
    </row>
    <row r="328" spans="1:2">
      <c r="A328" s="101" t="s">
        <v>529</v>
      </c>
      <c r="B328" s="425">
        <v>302.39999999999998</v>
      </c>
    </row>
    <row r="329" spans="1:2">
      <c r="A329" s="101" t="s">
        <v>531</v>
      </c>
      <c r="B329" s="425">
        <v>207.2</v>
      </c>
    </row>
    <row r="330" spans="1:2">
      <c r="A330" s="101" t="s">
        <v>700</v>
      </c>
      <c r="B330" s="425">
        <v>281.2</v>
      </c>
    </row>
    <row r="331" spans="1:2">
      <c r="A331" s="101" t="s">
        <v>581</v>
      </c>
      <c r="B331" s="425">
        <v>155.4</v>
      </c>
    </row>
    <row r="332" spans="1:2">
      <c r="A332" s="101" t="s">
        <v>582</v>
      </c>
      <c r="B332" s="425">
        <v>370</v>
      </c>
    </row>
    <row r="333" spans="1:2">
      <c r="A333" s="101" t="s">
        <v>594</v>
      </c>
      <c r="B333" s="425">
        <v>150.9</v>
      </c>
    </row>
    <row r="334" spans="1:2">
      <c r="A334" s="101" t="s">
        <v>596</v>
      </c>
      <c r="B334" s="425">
        <v>133.19999999999999</v>
      </c>
    </row>
    <row r="335" spans="1:2">
      <c r="A335" s="101" t="s">
        <v>264</v>
      </c>
      <c r="B335" s="425">
        <v>181.08</v>
      </c>
    </row>
    <row r="336" spans="1:2">
      <c r="A336" s="101" t="s">
        <v>625</v>
      </c>
      <c r="B336" s="425">
        <v>333</v>
      </c>
    </row>
    <row r="337" spans="1:2">
      <c r="A337" s="101" t="s">
        <v>626</v>
      </c>
      <c r="B337" s="425">
        <v>158.6</v>
      </c>
    </row>
    <row r="338" spans="1:2">
      <c r="A338" s="101" t="s">
        <v>3538</v>
      </c>
      <c r="B338" s="425">
        <v>133.19999999999999</v>
      </c>
    </row>
    <row r="339" spans="1:2">
      <c r="A339" s="101" t="s">
        <v>648</v>
      </c>
      <c r="B339" s="425">
        <v>277</v>
      </c>
    </row>
    <row r="340" spans="1:2">
      <c r="A340" s="101" t="s">
        <v>1738</v>
      </c>
      <c r="B340" s="425">
        <v>183.8</v>
      </c>
    </row>
    <row r="341" spans="1:2">
      <c r="A341" s="101" t="s">
        <v>649</v>
      </c>
      <c r="B341" s="425">
        <v>190.5</v>
      </c>
    </row>
    <row r="342" spans="1:2">
      <c r="A342" s="101" t="s">
        <v>1024</v>
      </c>
      <c r="B342" s="425">
        <v>154.69999999999999</v>
      </c>
    </row>
    <row r="343" spans="1:2" hidden="1">
      <c r="A343" s="101" t="s">
        <v>3462</v>
      </c>
      <c r="B343" s="425" t="e">
        <v>#N/A</v>
      </c>
    </row>
    <row r="344" spans="1:2">
      <c r="A344" s="101" t="s">
        <v>3785</v>
      </c>
      <c r="B344" s="425">
        <v>96.2</v>
      </c>
    </row>
    <row r="345" spans="1:2">
      <c r="A345" s="101" t="s">
        <v>1133</v>
      </c>
      <c r="B345" s="425">
        <v>140.84</v>
      </c>
    </row>
    <row r="346" spans="1:2">
      <c r="A346" s="101" t="s">
        <v>698</v>
      </c>
      <c r="B346" s="425">
        <v>171.02</v>
      </c>
    </row>
    <row r="347" spans="1:2">
      <c r="A347" s="101" t="s">
        <v>701</v>
      </c>
      <c r="B347" s="425">
        <v>202.4</v>
      </c>
    </row>
    <row r="348" spans="1:2" hidden="1">
      <c r="A348" s="101" t="s">
        <v>723</v>
      </c>
      <c r="B348" s="425" t="e">
        <v>#N/A</v>
      </c>
    </row>
    <row r="349" spans="1:2">
      <c r="A349" s="101" t="s">
        <v>745</v>
      </c>
      <c r="B349" s="425">
        <v>114.1</v>
      </c>
    </row>
    <row r="350" spans="1:2">
      <c r="A350" s="101" t="s">
        <v>749</v>
      </c>
      <c r="B350" s="425">
        <v>155.4</v>
      </c>
    </row>
    <row r="351" spans="1:2">
      <c r="A351" s="101" t="s">
        <v>777</v>
      </c>
      <c r="B351" s="425">
        <v>234</v>
      </c>
    </row>
    <row r="352" spans="1:2">
      <c r="A352" s="101" t="s">
        <v>783</v>
      </c>
      <c r="B352" s="425">
        <v>123.2</v>
      </c>
    </row>
    <row r="353" spans="1:2" hidden="1">
      <c r="A353" s="101" t="s">
        <v>3826</v>
      </c>
      <c r="B353" s="425" t="e">
        <v>#N/A</v>
      </c>
    </row>
    <row r="354" spans="1:2">
      <c r="A354" s="101" t="s">
        <v>793</v>
      </c>
      <c r="B354" s="425">
        <v>155.4</v>
      </c>
    </row>
    <row r="355" spans="1:2">
      <c r="A355" s="101" t="s">
        <v>817</v>
      </c>
      <c r="B355" s="425">
        <v>181.08</v>
      </c>
    </row>
    <row r="356" spans="1:2">
      <c r="A356" s="101" t="s">
        <v>821</v>
      </c>
      <c r="B356" s="425">
        <v>228.6</v>
      </c>
    </row>
    <row r="357" spans="1:2">
      <c r="A357" s="101" t="s">
        <v>824</v>
      </c>
      <c r="B357" s="425">
        <v>144.30000000000001</v>
      </c>
    </row>
    <row r="358" spans="1:2">
      <c r="A358" s="101" t="s">
        <v>635</v>
      </c>
      <c r="B358" s="425">
        <v>44.4</v>
      </c>
    </row>
    <row r="359" spans="1:2">
      <c r="A359" s="101" t="s">
        <v>840</v>
      </c>
      <c r="B359" s="425">
        <v>33.299999999999997</v>
      </c>
    </row>
    <row r="360" spans="1:2">
      <c r="A360" s="101" t="s">
        <v>857</v>
      </c>
      <c r="B360" s="425">
        <v>88.8</v>
      </c>
    </row>
    <row r="361" spans="1:2">
      <c r="A361" s="101" t="s">
        <v>864</v>
      </c>
      <c r="B361" s="425">
        <v>181.08</v>
      </c>
    </row>
    <row r="362" spans="1:2">
      <c r="A362" s="101" t="s">
        <v>905</v>
      </c>
      <c r="B362" s="425">
        <v>109.5</v>
      </c>
    </row>
    <row r="363" spans="1:2">
      <c r="A363" s="101" t="s">
        <v>921</v>
      </c>
      <c r="B363" s="425">
        <v>77.7</v>
      </c>
    </row>
    <row r="364" spans="1:2">
      <c r="A364" s="101" t="s">
        <v>765</v>
      </c>
      <c r="B364" s="425">
        <v>125.8</v>
      </c>
    </row>
    <row r="365" spans="1:2">
      <c r="A365" s="101" t="s">
        <v>932</v>
      </c>
      <c r="B365" s="425">
        <v>133.19999999999999</v>
      </c>
    </row>
    <row r="366" spans="1:2">
      <c r="A366" s="101" t="s">
        <v>975</v>
      </c>
      <c r="B366" s="425">
        <v>199.8</v>
      </c>
    </row>
    <row r="367" spans="1:2">
      <c r="A367" s="101" t="s">
        <v>977</v>
      </c>
      <c r="B367" s="425">
        <v>155.4</v>
      </c>
    </row>
    <row r="368" spans="1:2">
      <c r="A368" s="101" t="s">
        <v>3086</v>
      </c>
      <c r="B368" s="425">
        <v>133.19999999999999</v>
      </c>
    </row>
    <row r="369" spans="1:2">
      <c r="A369" s="101" t="s">
        <v>992</v>
      </c>
      <c r="B369" s="425">
        <v>148</v>
      </c>
    </row>
    <row r="370" spans="1:2">
      <c r="A370" s="101" t="s">
        <v>748</v>
      </c>
      <c r="B370" s="425">
        <v>273</v>
      </c>
    </row>
    <row r="371" spans="1:2">
      <c r="A371" s="101" t="s">
        <v>3004</v>
      </c>
      <c r="B371" s="425">
        <v>353</v>
      </c>
    </row>
    <row r="372" spans="1:2" hidden="1">
      <c r="A372" s="101" t="s">
        <v>1012</v>
      </c>
      <c r="B372" s="425" t="e">
        <v>#N/A</v>
      </c>
    </row>
    <row r="373" spans="1:2">
      <c r="A373" s="101" t="s">
        <v>1020</v>
      </c>
      <c r="B373" s="425">
        <v>209</v>
      </c>
    </row>
    <row r="374" spans="1:2">
      <c r="A374" s="101" t="s">
        <v>1055</v>
      </c>
      <c r="B374" s="425">
        <v>316.8</v>
      </c>
    </row>
    <row r="375" spans="1:2">
      <c r="A375" s="101" t="s">
        <v>1263</v>
      </c>
      <c r="B375" s="425">
        <v>103.6</v>
      </c>
    </row>
    <row r="376" spans="1:2">
      <c r="A376" s="101" t="s">
        <v>1089</v>
      </c>
      <c r="B376" s="425">
        <v>192.4</v>
      </c>
    </row>
    <row r="377" spans="1:2">
      <c r="A377" s="101" t="s">
        <v>1097</v>
      </c>
      <c r="B377" s="425">
        <v>199.8</v>
      </c>
    </row>
    <row r="378" spans="1:2">
      <c r="A378" s="101" t="s">
        <v>1100</v>
      </c>
      <c r="B378" s="425">
        <v>133.19999999999999</v>
      </c>
    </row>
    <row r="379" spans="1:2">
      <c r="A379" s="101" t="s">
        <v>1107</v>
      </c>
      <c r="B379" s="425">
        <v>299.7</v>
      </c>
    </row>
    <row r="380" spans="1:2">
      <c r="A380" s="101" t="s">
        <v>1129</v>
      </c>
      <c r="B380" s="425">
        <v>254</v>
      </c>
    </row>
    <row r="381" spans="1:2">
      <c r="A381" s="101" t="s">
        <v>1144</v>
      </c>
      <c r="B381" s="425">
        <v>155.4</v>
      </c>
    </row>
    <row r="382" spans="1:2">
      <c r="A382" s="101" t="s">
        <v>1146</v>
      </c>
      <c r="B382" s="425">
        <v>333</v>
      </c>
    </row>
    <row r="383" spans="1:2">
      <c r="A383" s="101" t="s">
        <v>1128</v>
      </c>
      <c r="B383" s="425">
        <v>10.199999999999999</v>
      </c>
    </row>
    <row r="384" spans="1:2" hidden="1">
      <c r="A384" s="101" t="s">
        <v>3811</v>
      </c>
      <c r="B384" s="425" t="e">
        <v>#N/A</v>
      </c>
    </row>
    <row r="385" spans="1:2">
      <c r="A385" s="101" t="s">
        <v>1168</v>
      </c>
      <c r="B385" s="425">
        <v>266.39999999999998</v>
      </c>
    </row>
    <row r="386" spans="1:2">
      <c r="A386" s="101" t="s">
        <v>2296</v>
      </c>
      <c r="B386" s="425">
        <v>201.2</v>
      </c>
    </row>
    <row r="387" spans="1:2" hidden="1">
      <c r="A387" s="101" t="s">
        <v>470</v>
      </c>
      <c r="B387" s="425" t="e">
        <v>#N/A</v>
      </c>
    </row>
    <row r="388" spans="1:2">
      <c r="A388" s="101" t="s">
        <v>1150</v>
      </c>
      <c r="B388" s="425">
        <v>170.4</v>
      </c>
    </row>
    <row r="389" spans="1:2">
      <c r="A389" s="101" t="s">
        <v>507</v>
      </c>
      <c r="B389" s="425">
        <v>120.72</v>
      </c>
    </row>
    <row r="390" spans="1:2">
      <c r="A390" s="101" t="s">
        <v>714</v>
      </c>
      <c r="B390" s="425">
        <v>133.19999999999999</v>
      </c>
    </row>
    <row r="391" spans="1:2">
      <c r="A391" s="101" t="s">
        <v>3692</v>
      </c>
      <c r="B391" s="425">
        <v>251.5</v>
      </c>
    </row>
    <row r="392" spans="1:2">
      <c r="A392" s="101" t="s">
        <v>3463</v>
      </c>
      <c r="B392" s="425">
        <v>181.08</v>
      </c>
    </row>
    <row r="393" spans="1:2" hidden="1">
      <c r="A393" s="101" t="s">
        <v>1282</v>
      </c>
      <c r="B393" s="425" t="e">
        <v>#N/A</v>
      </c>
    </row>
    <row r="394" spans="1:2">
      <c r="A394" s="101" t="s">
        <v>3617</v>
      </c>
      <c r="B394" s="425">
        <v>306.60000000000002</v>
      </c>
    </row>
    <row r="395" spans="1:2">
      <c r="A395" s="101" t="s">
        <v>628</v>
      </c>
      <c r="B395" s="425">
        <v>181.08</v>
      </c>
    </row>
    <row r="396" spans="1:2">
      <c r="A396" s="101" t="s">
        <v>662</v>
      </c>
      <c r="B396" s="425">
        <v>338.1</v>
      </c>
    </row>
    <row r="397" spans="1:2">
      <c r="A397" s="101" t="s">
        <v>668</v>
      </c>
      <c r="B397" s="425">
        <v>102.2</v>
      </c>
    </row>
    <row r="398" spans="1:2" hidden="1">
      <c r="A398" s="101" t="s">
        <v>3825</v>
      </c>
      <c r="B398" s="425" t="e">
        <v>#N/A</v>
      </c>
    </row>
    <row r="399" spans="1:2">
      <c r="A399" s="101" t="s">
        <v>3464</v>
      </c>
      <c r="B399" s="425">
        <v>188.7</v>
      </c>
    </row>
    <row r="400" spans="1:2">
      <c r="A400" s="101" t="s">
        <v>682</v>
      </c>
      <c r="B400" s="425">
        <v>199.8</v>
      </c>
    </row>
    <row r="401" spans="1:2">
      <c r="A401" s="101" t="s">
        <v>825</v>
      </c>
      <c r="B401" s="425">
        <v>246.6</v>
      </c>
    </row>
    <row r="402" spans="1:2">
      <c r="A402" s="101" t="s">
        <v>3465</v>
      </c>
      <c r="B402" s="425">
        <v>243.6</v>
      </c>
    </row>
    <row r="403" spans="1:2">
      <c r="A403" s="101" t="s">
        <v>2237</v>
      </c>
      <c r="B403" s="425">
        <v>127.8</v>
      </c>
    </row>
    <row r="404" spans="1:2">
      <c r="A404" s="101" t="s">
        <v>3466</v>
      </c>
      <c r="B404" s="425">
        <v>133.19999999999999</v>
      </c>
    </row>
    <row r="405" spans="1:2">
      <c r="A405" s="101" t="s">
        <v>3725</v>
      </c>
      <c r="B405" s="425">
        <v>133.19999999999999</v>
      </c>
    </row>
    <row r="406" spans="1:2">
      <c r="A406" s="101" t="s">
        <v>1094</v>
      </c>
      <c r="B406" s="425">
        <v>44.4</v>
      </c>
    </row>
    <row r="407" spans="1:2">
      <c r="A407" s="101" t="s">
        <v>1124</v>
      </c>
      <c r="B407" s="425">
        <v>133.19999999999999</v>
      </c>
    </row>
    <row r="408" spans="1:2">
      <c r="A408" s="101" t="s">
        <v>3674</v>
      </c>
      <c r="B408" s="425">
        <v>222</v>
      </c>
    </row>
    <row r="409" spans="1:2">
      <c r="A409" s="101" t="s">
        <v>399</v>
      </c>
      <c r="B409" s="425">
        <v>117.1</v>
      </c>
    </row>
    <row r="410" spans="1:2">
      <c r="A410" s="101" t="s">
        <v>1108</v>
      </c>
      <c r="B410" s="425">
        <v>199.8</v>
      </c>
    </row>
    <row r="411" spans="1:2">
      <c r="A411" s="101" t="s">
        <v>1135</v>
      </c>
      <c r="B411" s="425">
        <v>184.6</v>
      </c>
    </row>
    <row r="412" spans="1:2">
      <c r="A412" s="101" t="s">
        <v>1147</v>
      </c>
      <c r="B412" s="425">
        <v>160.96</v>
      </c>
    </row>
    <row r="413" spans="1:2" hidden="1">
      <c r="A413" s="101" t="s">
        <v>3467</v>
      </c>
      <c r="B413" s="425" t="e">
        <v>#N/A</v>
      </c>
    </row>
    <row r="414" spans="1:2" hidden="1">
      <c r="A414" s="101" t="s">
        <v>3468</v>
      </c>
      <c r="B414" s="425" t="e">
        <v>#N/A</v>
      </c>
    </row>
    <row r="415" spans="1:2" hidden="1">
      <c r="A415" s="101" t="s">
        <v>3003</v>
      </c>
      <c r="B415" s="425" t="e">
        <v>#N/A</v>
      </c>
    </row>
    <row r="416" spans="1:2" hidden="1">
      <c r="A416" s="101" t="s">
        <v>1294</v>
      </c>
      <c r="B416" s="425" t="e">
        <v>#N/A</v>
      </c>
    </row>
    <row r="417" spans="1:2" hidden="1">
      <c r="A417" s="101" t="s">
        <v>3026</v>
      </c>
      <c r="B417" s="425" t="e">
        <v>#N/A</v>
      </c>
    </row>
    <row r="418" spans="1:2" hidden="1">
      <c r="A418" s="101" t="s">
        <v>196</v>
      </c>
      <c r="B418" s="425" t="e">
        <v>#N/A</v>
      </c>
    </row>
    <row r="419" spans="1:2" hidden="1">
      <c r="A419" s="101" t="s">
        <v>3691</v>
      </c>
      <c r="B419" s="425" t="e">
        <v>#N/A</v>
      </c>
    </row>
    <row r="420" spans="1:2">
      <c r="A420" s="101" t="s">
        <v>1118</v>
      </c>
      <c r="B420" s="425">
        <v>116</v>
      </c>
    </row>
    <row r="421" spans="1:2" hidden="1">
      <c r="A421" s="101" t="s">
        <v>3678</v>
      </c>
      <c r="B421" s="425" t="e">
        <v>#N/A</v>
      </c>
    </row>
    <row r="422" spans="1:2" hidden="1">
      <c r="A422" s="101" t="s">
        <v>3072</v>
      </c>
      <c r="B422" s="425" t="e">
        <v>#N/A</v>
      </c>
    </row>
    <row r="423" spans="1:2" hidden="1">
      <c r="A423" s="101" t="s">
        <v>1236</v>
      </c>
      <c r="B423" s="425" t="e">
        <v>#N/A</v>
      </c>
    </row>
    <row r="424" spans="1:2">
      <c r="A424" s="101" t="s">
        <v>679</v>
      </c>
      <c r="B424" s="425">
        <v>158.80000000000001</v>
      </c>
    </row>
    <row r="425" spans="1:2">
      <c r="A425" s="101" t="s">
        <v>655</v>
      </c>
      <c r="B425" s="425">
        <v>118.8</v>
      </c>
    </row>
    <row r="426" spans="1:2">
      <c r="A426" s="101" t="s">
        <v>3716</v>
      </c>
      <c r="B426" s="425">
        <v>132</v>
      </c>
    </row>
    <row r="427" spans="1:2" hidden="1">
      <c r="A427" s="101" t="s">
        <v>1257</v>
      </c>
      <c r="B427" s="425" t="e">
        <v>#N/A</v>
      </c>
    </row>
    <row r="428" spans="1:2">
      <c r="A428" s="101" t="s">
        <v>2271</v>
      </c>
      <c r="B428" s="425">
        <v>82.8</v>
      </c>
    </row>
    <row r="429" spans="1:2" hidden="1">
      <c r="A429" s="101" t="s">
        <v>730</v>
      </c>
      <c r="B429" s="425" t="e">
        <v>#N/A</v>
      </c>
    </row>
    <row r="430" spans="1:2" hidden="1">
      <c r="A430" s="101" t="s">
        <v>590</v>
      </c>
      <c r="B430" s="425" t="e">
        <v>#N/A</v>
      </c>
    </row>
    <row r="431" spans="1:2">
      <c r="A431" s="101" t="s">
        <v>1044</v>
      </c>
      <c r="B431" s="425">
        <v>83.2</v>
      </c>
    </row>
    <row r="432" spans="1:2" hidden="1">
      <c r="A432" s="101" t="s">
        <v>453</v>
      </c>
      <c r="B432" s="425" t="e">
        <v>#N/A</v>
      </c>
    </row>
    <row r="433" spans="1:2">
      <c r="A433" s="101" t="s">
        <v>583</v>
      </c>
      <c r="B433" s="425">
        <v>0</v>
      </c>
    </row>
    <row r="434" spans="1:2" hidden="1">
      <c r="A434" s="101" t="s">
        <v>3540</v>
      </c>
      <c r="B434" s="425" t="e">
        <v>#N/A</v>
      </c>
    </row>
    <row r="435" spans="1:2" hidden="1">
      <c r="A435" s="101" t="s">
        <v>3619</v>
      </c>
      <c r="B435" s="425" t="e">
        <v>#N/A</v>
      </c>
    </row>
    <row r="436" spans="1:2" hidden="1">
      <c r="A436" s="101" t="s">
        <v>2051</v>
      </c>
      <c r="B436" s="425" t="e">
        <v>#N/A</v>
      </c>
    </row>
    <row r="437" spans="1:2">
      <c r="A437" s="101" t="s">
        <v>3613</v>
      </c>
      <c r="B437" s="425">
        <v>210.2</v>
      </c>
    </row>
    <row r="438" spans="1:2">
      <c r="A438" s="101" t="s">
        <v>3113</v>
      </c>
      <c r="B438" s="425">
        <v>103.6</v>
      </c>
    </row>
    <row r="439" spans="1:2">
      <c r="A439" s="101" t="s">
        <v>3630</v>
      </c>
      <c r="B439" s="425">
        <v>103.6</v>
      </c>
    </row>
    <row r="440" spans="1:2">
      <c r="A440" s="101" t="s">
        <v>521</v>
      </c>
      <c r="B440" s="425">
        <v>107.8</v>
      </c>
    </row>
    <row r="441" spans="1:2">
      <c r="A441" s="101" t="s">
        <v>3469</v>
      </c>
      <c r="B441" s="425">
        <v>103.6</v>
      </c>
    </row>
    <row r="442" spans="1:2">
      <c r="A442" s="101" t="s">
        <v>842</v>
      </c>
      <c r="B442" s="425">
        <v>8.9</v>
      </c>
    </row>
    <row r="443" spans="1:2">
      <c r="A443" s="101" t="s">
        <v>3635</v>
      </c>
      <c r="B443" s="425">
        <v>342.2</v>
      </c>
    </row>
    <row r="444" spans="1:2">
      <c r="A444" s="101" t="s">
        <v>276</v>
      </c>
      <c r="B444" s="425">
        <v>199.2</v>
      </c>
    </row>
    <row r="445" spans="1:2">
      <c r="A445" s="101" t="s">
        <v>631</v>
      </c>
      <c r="B445" s="425">
        <v>259</v>
      </c>
    </row>
    <row r="446" spans="1:2">
      <c r="A446" s="101" t="s">
        <v>1111</v>
      </c>
      <c r="B446" s="425">
        <v>195.6</v>
      </c>
    </row>
    <row r="447" spans="1:2">
      <c r="A447" s="101" t="s">
        <v>560</v>
      </c>
      <c r="B447" s="425">
        <v>51</v>
      </c>
    </row>
    <row r="448" spans="1:2" hidden="1">
      <c r="A448" s="101" t="s">
        <v>3812</v>
      </c>
      <c r="B448" s="425" t="e">
        <v>#N/A</v>
      </c>
    </row>
    <row r="449" spans="1:2">
      <c r="A449" s="101" t="s">
        <v>924</v>
      </c>
      <c r="B449" s="425">
        <v>246.4</v>
      </c>
    </row>
    <row r="450" spans="1:2">
      <c r="A450" s="101" t="s">
        <v>3013</v>
      </c>
      <c r="B450" s="425">
        <v>0</v>
      </c>
    </row>
    <row r="451" spans="1:2">
      <c r="A451" s="101" t="s">
        <v>3542</v>
      </c>
      <c r="B451" s="425">
        <v>107.1</v>
      </c>
    </row>
    <row r="452" spans="1:2" hidden="1">
      <c r="A452" s="101" t="s">
        <v>391</v>
      </c>
      <c r="B452" s="425" t="e">
        <v>#N/A</v>
      </c>
    </row>
    <row r="453" spans="1:2" hidden="1">
      <c r="A453" s="101" t="s">
        <v>1123</v>
      </c>
      <c r="B453" s="425" t="e">
        <v>#N/A</v>
      </c>
    </row>
    <row r="454" spans="1:2" hidden="1">
      <c r="A454" s="101" t="s">
        <v>3681</v>
      </c>
      <c r="B454" s="425" t="e">
        <v>#N/A</v>
      </c>
    </row>
    <row r="455" spans="1:2" hidden="1">
      <c r="A455" s="101" t="s">
        <v>1260</v>
      </c>
      <c r="B455" s="425" t="e">
        <v>#N/A</v>
      </c>
    </row>
    <row r="456" spans="1:2" hidden="1">
      <c r="A456" s="101" t="s">
        <v>3818</v>
      </c>
      <c r="B456" s="425" t="e">
        <v>#N/A</v>
      </c>
    </row>
    <row r="457" spans="1:2" hidden="1">
      <c r="A457" s="101" t="s">
        <v>1207</v>
      </c>
      <c r="B457" s="425" t="e">
        <v>#N/A</v>
      </c>
    </row>
    <row r="458" spans="1:2">
      <c r="A458" s="101" t="s">
        <v>3470</v>
      </c>
      <c r="B458" s="425">
        <v>232.2</v>
      </c>
    </row>
    <row r="459" spans="1:2" hidden="1">
      <c r="A459" s="101" t="s">
        <v>863</v>
      </c>
      <c r="B459" s="425" t="e">
        <v>#N/A</v>
      </c>
    </row>
    <row r="460" spans="1:2" hidden="1">
      <c r="A460" s="101" t="s">
        <v>841</v>
      </c>
      <c r="B460" s="425" t="e">
        <v>#N/A</v>
      </c>
    </row>
    <row r="461" spans="1:2" hidden="1">
      <c r="A461" s="101" t="s">
        <v>640</v>
      </c>
      <c r="B461" s="425" t="e">
        <v>#N/A</v>
      </c>
    </row>
    <row r="462" spans="1:2" hidden="1">
      <c r="A462" s="101" t="s">
        <v>3731</v>
      </c>
      <c r="B462" s="425" t="e">
        <v>#N/A</v>
      </c>
    </row>
    <row r="463" spans="1:2" hidden="1">
      <c r="A463" s="101" t="s">
        <v>846</v>
      </c>
      <c r="B463" s="425" t="e">
        <v>#N/A</v>
      </c>
    </row>
    <row r="464" spans="1:2" hidden="1">
      <c r="A464" s="101" t="s">
        <v>3824</v>
      </c>
      <c r="B464" s="425" t="e">
        <v>#N/A</v>
      </c>
    </row>
    <row r="465" spans="1:2" hidden="1">
      <c r="A465" s="101" t="s">
        <v>1001</v>
      </c>
      <c r="B465" s="425" t="e">
        <v>#N/A</v>
      </c>
    </row>
    <row r="466" spans="1:2" hidden="1">
      <c r="A466" s="101" t="s">
        <v>3723</v>
      </c>
      <c r="B466" s="425" t="e">
        <v>#N/A</v>
      </c>
    </row>
    <row r="467" spans="1:2">
      <c r="A467" s="101" t="s">
        <v>504</v>
      </c>
      <c r="B467" s="425">
        <v>153</v>
      </c>
    </row>
    <row r="468" spans="1:2" hidden="1">
      <c r="A468" s="101" t="s">
        <v>663</v>
      </c>
      <c r="B468" s="425" t="e">
        <v>#N/A</v>
      </c>
    </row>
    <row r="469" spans="1:2">
      <c r="A469" s="101" t="s">
        <v>3795</v>
      </c>
      <c r="B469" s="425">
        <v>61.6</v>
      </c>
    </row>
    <row r="470" spans="1:2">
      <c r="A470" s="101" t="s">
        <v>1186</v>
      </c>
      <c r="B470" s="425">
        <v>104</v>
      </c>
    </row>
    <row r="471" spans="1:2">
      <c r="A471" s="101" t="s">
        <v>1213</v>
      </c>
      <c r="B471" s="425">
        <v>71.2</v>
      </c>
    </row>
    <row r="472" spans="1:2">
      <c r="A472" s="101" t="s">
        <v>995</v>
      </c>
      <c r="B472" s="425">
        <v>135.05000000000001</v>
      </c>
    </row>
    <row r="473" spans="1:2">
      <c r="A473" s="101" t="s">
        <v>3732</v>
      </c>
      <c r="B473" s="425">
        <v>136.80000000000001</v>
      </c>
    </row>
    <row r="474" spans="1:2" hidden="1">
      <c r="A474" s="101" t="s">
        <v>813</v>
      </c>
      <c r="B474" s="425" t="e">
        <v>#N/A</v>
      </c>
    </row>
    <row r="475" spans="1:2">
      <c r="A475" s="101" t="s">
        <v>719</v>
      </c>
      <c r="B475" s="425">
        <v>0</v>
      </c>
    </row>
    <row r="476" spans="1:2">
      <c r="A476" s="101" t="s">
        <v>3717</v>
      </c>
      <c r="B476" s="425">
        <v>93</v>
      </c>
    </row>
    <row r="477" spans="1:2" hidden="1">
      <c r="A477" s="101" t="s">
        <v>3543</v>
      </c>
      <c r="B477" s="425" t="e">
        <v>#N/A</v>
      </c>
    </row>
    <row r="478" spans="1:2" hidden="1">
      <c r="A478" s="101" t="s">
        <v>1181</v>
      </c>
      <c r="B478" s="425" t="e">
        <v>#N/A</v>
      </c>
    </row>
    <row r="479" spans="1:2">
      <c r="A479" s="101" t="s">
        <v>1163</v>
      </c>
      <c r="B479" s="425">
        <v>0</v>
      </c>
    </row>
    <row r="480" spans="1:2" hidden="1">
      <c r="A480" s="101" t="s">
        <v>171</v>
      </c>
      <c r="B480" s="425" t="e">
        <v>#N/A</v>
      </c>
    </row>
    <row r="481" spans="1:2" hidden="1">
      <c r="A481" s="101" t="s">
        <v>3714</v>
      </c>
      <c r="B481" s="425" t="e">
        <v>#N/A</v>
      </c>
    </row>
    <row r="482" spans="1:2" hidden="1">
      <c r="A482" s="101" t="s">
        <v>1255</v>
      </c>
      <c r="B482" s="425" t="e">
        <v>#N/A</v>
      </c>
    </row>
    <row r="483" spans="1:2" hidden="1">
      <c r="A483" s="101" t="s">
        <v>2310</v>
      </c>
      <c r="B483" s="425" t="e">
        <v>#N/A</v>
      </c>
    </row>
    <row r="484" spans="1:2" hidden="1">
      <c r="A484" s="101" t="s">
        <v>3738</v>
      </c>
      <c r="B484" s="425" t="e">
        <v>#N/A</v>
      </c>
    </row>
    <row r="485" spans="1:2">
      <c r="A485" s="101" t="s">
        <v>3471</v>
      </c>
      <c r="B485" s="425">
        <v>90</v>
      </c>
    </row>
    <row r="486" spans="1:2" hidden="1">
      <c r="A486" s="101" t="s">
        <v>3675</v>
      </c>
      <c r="B486" s="425" t="e">
        <v>#N/A</v>
      </c>
    </row>
    <row r="487" spans="1:2" hidden="1">
      <c r="A487" s="101" t="s">
        <v>241</v>
      </c>
      <c r="B487" s="425" t="e">
        <v>#N/A</v>
      </c>
    </row>
    <row r="488" spans="1:2" hidden="1">
      <c r="A488" s="101" t="s">
        <v>218</v>
      </c>
      <c r="B488" s="425" t="e">
        <v>#N/A</v>
      </c>
    </row>
    <row r="489" spans="1:2">
      <c r="A489" s="101" t="s">
        <v>3472</v>
      </c>
      <c r="B489" s="425">
        <v>100</v>
      </c>
    </row>
    <row r="490" spans="1:2" hidden="1">
      <c r="A490" s="101" t="s">
        <v>3626</v>
      </c>
      <c r="B490" s="425" t="e">
        <v>#N/A</v>
      </c>
    </row>
    <row r="491" spans="1:2">
      <c r="A491" s="101" t="s">
        <v>954</v>
      </c>
      <c r="B491" s="425">
        <v>120</v>
      </c>
    </row>
    <row r="492" spans="1:2" hidden="1">
      <c r="A492" s="101" t="s">
        <v>3544</v>
      </c>
      <c r="B492" s="425" t="e">
        <v>#N/A</v>
      </c>
    </row>
    <row r="493" spans="1:2">
      <c r="A493" s="101" t="s">
        <v>1096</v>
      </c>
      <c r="B493" s="425">
        <v>192</v>
      </c>
    </row>
    <row r="494" spans="1:2" hidden="1">
      <c r="A494" s="101" t="s">
        <v>207</v>
      </c>
      <c r="B494" s="425" t="e">
        <v>#N/A</v>
      </c>
    </row>
    <row r="495" spans="1:2">
      <c r="A495" s="101" t="s">
        <v>3730</v>
      </c>
      <c r="B495" s="425">
        <v>278</v>
      </c>
    </row>
    <row r="496" spans="1:2" hidden="1">
      <c r="A496" s="101" t="s">
        <v>1174</v>
      </c>
      <c r="B496" s="425" t="e">
        <v>#N/A</v>
      </c>
    </row>
    <row r="497" spans="1:2" hidden="1">
      <c r="A497" s="101" t="s">
        <v>3683</v>
      </c>
      <c r="B497" s="425" t="e">
        <v>#N/A</v>
      </c>
    </row>
    <row r="498" spans="1:2" hidden="1">
      <c r="A498" s="101" t="s">
        <v>3473</v>
      </c>
      <c r="B498" s="425" t="e">
        <v>#N/A</v>
      </c>
    </row>
    <row r="499" spans="1:2" hidden="1">
      <c r="A499" s="101" t="s">
        <v>3015</v>
      </c>
      <c r="B499" s="425" t="e">
        <v>#N/A</v>
      </c>
    </row>
    <row r="500" spans="1:2" hidden="1">
      <c r="A500" s="101" t="s">
        <v>1183</v>
      </c>
      <c r="B500" s="425" t="e">
        <v>#N/A</v>
      </c>
    </row>
    <row r="501" spans="1:2" hidden="1">
      <c r="A501" s="101" t="s">
        <v>3819</v>
      </c>
      <c r="B501" s="425" t="e">
        <v>#N/A</v>
      </c>
    </row>
    <row r="502" spans="1:2" hidden="1">
      <c r="A502" s="101" t="s">
        <v>1247</v>
      </c>
      <c r="B502" s="425" t="e">
        <v>#N/A</v>
      </c>
    </row>
    <row r="503" spans="1:2" hidden="1">
      <c r="A503" s="101" t="s">
        <v>1038</v>
      </c>
      <c r="B503" s="425" t="e">
        <v>#N/A</v>
      </c>
    </row>
    <row r="504" spans="1:2" hidden="1">
      <c r="A504" s="101" t="s">
        <v>1152</v>
      </c>
      <c r="B504" s="425" t="e">
        <v>#N/A</v>
      </c>
    </row>
    <row r="505" spans="1:2" hidden="1">
      <c r="A505" s="101" t="s">
        <v>1149</v>
      </c>
      <c r="B505" s="425" t="e">
        <v>#N/A</v>
      </c>
    </row>
    <row r="506" spans="1:2" hidden="1">
      <c r="A506" s="101" t="s">
        <v>168</v>
      </c>
      <c r="B506" s="425" t="e">
        <v>#N/A</v>
      </c>
    </row>
    <row r="507" spans="1:2">
      <c r="A507" s="101" t="s">
        <v>3628</v>
      </c>
      <c r="B507" s="425">
        <v>152</v>
      </c>
    </row>
    <row r="508" spans="1:2" hidden="1">
      <c r="A508" s="101" t="s">
        <v>1254</v>
      </c>
      <c r="B508" s="425" t="e">
        <v>#N/A</v>
      </c>
    </row>
    <row r="509" spans="1:2" hidden="1">
      <c r="A509" s="101" t="s">
        <v>273</v>
      </c>
      <c r="B509" s="425" t="e">
        <v>#N/A</v>
      </c>
    </row>
    <row r="510" spans="1:2" hidden="1">
      <c r="A510" s="101" t="s">
        <v>692</v>
      </c>
      <c r="B510" s="425" t="e">
        <v>#N/A</v>
      </c>
    </row>
    <row r="511" spans="1:2" hidden="1">
      <c r="A511" s="101" t="s">
        <v>269</v>
      </c>
      <c r="B511" s="425" t="e">
        <v>#N/A</v>
      </c>
    </row>
    <row r="512" spans="1:2" hidden="1">
      <c r="A512" s="101" t="s">
        <v>3474</v>
      </c>
      <c r="B512" s="425" t="e">
        <v>#N/A</v>
      </c>
    </row>
    <row r="513" spans="1:2" hidden="1">
      <c r="A513" s="101" t="s">
        <v>3081</v>
      </c>
      <c r="B513" s="425" t="e">
        <v>#N/A</v>
      </c>
    </row>
    <row r="514" spans="1:2" hidden="1">
      <c r="A514" s="101" t="s">
        <v>3081</v>
      </c>
      <c r="B514" s="425" t="e">
        <v>#N/A</v>
      </c>
    </row>
    <row r="515" spans="1:2" hidden="1">
      <c r="A515" s="101" t="s">
        <v>3637</v>
      </c>
      <c r="B515" s="425" t="e">
        <v>#N/A</v>
      </c>
    </row>
    <row r="516" spans="1:2">
      <c r="A516" s="101" t="s">
        <v>1267</v>
      </c>
      <c r="B516" s="425">
        <v>232</v>
      </c>
    </row>
    <row r="517" spans="1:2">
      <c r="A517" s="101" t="s">
        <v>1104</v>
      </c>
      <c r="B517" s="425">
        <v>120</v>
      </c>
    </row>
    <row r="518" spans="1:2" hidden="1">
      <c r="A518" s="101" t="s">
        <v>709</v>
      </c>
      <c r="B518" s="425" t="e">
        <v>#N/A</v>
      </c>
    </row>
    <row r="519" spans="1:2" hidden="1">
      <c r="A519" s="101" t="s">
        <v>3729</v>
      </c>
      <c r="B519" s="425" t="e">
        <v>#N/A</v>
      </c>
    </row>
    <row r="520" spans="1:2" hidden="1">
      <c r="A520" s="101" t="s">
        <v>822</v>
      </c>
      <c r="B520" s="425" t="e">
        <v>#N/A</v>
      </c>
    </row>
    <row r="521" spans="1:2">
      <c r="A521" s="101" t="s">
        <v>633</v>
      </c>
      <c r="B521" s="425">
        <v>105</v>
      </c>
    </row>
    <row r="522" spans="1:2">
      <c r="A522" s="101" t="s">
        <v>3720</v>
      </c>
      <c r="B522" s="425">
        <v>129.6</v>
      </c>
    </row>
    <row r="523" spans="1:2" hidden="1">
      <c r="A523" s="101" t="s">
        <v>1319</v>
      </c>
      <c r="B523" s="425" t="e">
        <v>#N/A</v>
      </c>
    </row>
    <row r="524" spans="1:2" hidden="1">
      <c r="A524" s="101" t="s">
        <v>370</v>
      </c>
      <c r="B524" s="425" t="e">
        <v>#N/A</v>
      </c>
    </row>
    <row r="525" spans="1:2" hidden="1">
      <c r="A525" s="101" t="s">
        <v>707</v>
      </c>
      <c r="B525" s="425" t="e">
        <v>#N/A</v>
      </c>
    </row>
    <row r="526" spans="1:2" hidden="1">
      <c r="A526" s="101" t="s">
        <v>3663</v>
      </c>
      <c r="B526" s="425" t="e">
        <v>#N/A</v>
      </c>
    </row>
    <row r="527" spans="1:2" hidden="1">
      <c r="A527" s="101" t="s">
        <v>180</v>
      </c>
      <c r="B527" s="425" t="e">
        <v>#N/A</v>
      </c>
    </row>
    <row r="528" spans="1:2" hidden="1">
      <c r="A528" s="101" t="s">
        <v>3804</v>
      </c>
      <c r="B528" s="425" t="e">
        <v>#N/A</v>
      </c>
    </row>
    <row r="529" spans="1:2">
      <c r="A529" s="101" t="s">
        <v>303</v>
      </c>
      <c r="B529" s="425">
        <v>114</v>
      </c>
    </row>
    <row r="530" spans="1:2">
      <c r="A530" s="101" t="s">
        <v>1093</v>
      </c>
      <c r="B530" s="425">
        <v>333</v>
      </c>
    </row>
    <row r="531" spans="1:2">
      <c r="A531" s="101" t="s">
        <v>890</v>
      </c>
      <c r="B531" s="425">
        <v>133.19999999999999</v>
      </c>
    </row>
    <row r="532" spans="1:2">
      <c r="A532" s="101" t="s">
        <v>1820</v>
      </c>
      <c r="B532" s="425">
        <v>88</v>
      </c>
    </row>
    <row r="533" spans="1:2">
      <c r="A533" s="101" t="s">
        <v>2346</v>
      </c>
      <c r="B533" s="425">
        <v>36</v>
      </c>
    </row>
    <row r="534" spans="1:2">
      <c r="A534" s="101" t="s">
        <v>3706</v>
      </c>
      <c r="B534" s="425">
        <v>100</v>
      </c>
    </row>
    <row r="535" spans="1:2" hidden="1">
      <c r="A535" s="101" t="s">
        <v>240</v>
      </c>
      <c r="B535" s="425" t="e">
        <v>#N/A</v>
      </c>
    </row>
    <row r="536" spans="1:2">
      <c r="A536" s="101" t="s">
        <v>1170</v>
      </c>
      <c r="B536" s="425">
        <v>88</v>
      </c>
    </row>
    <row r="537" spans="1:2" hidden="1">
      <c r="A537" s="101" t="s">
        <v>3638</v>
      </c>
      <c r="B537" s="425" t="e">
        <v>#N/A</v>
      </c>
    </row>
    <row r="538" spans="1:2" hidden="1">
      <c r="A538" s="101" t="s">
        <v>847</v>
      </c>
      <c r="B538" s="425" t="e">
        <v>#N/A</v>
      </c>
    </row>
    <row r="539" spans="1:2" hidden="1">
      <c r="A539" s="101" t="s">
        <v>3815</v>
      </c>
      <c r="B539" s="425" t="e">
        <v>#N/A</v>
      </c>
    </row>
    <row r="540" spans="1:2">
      <c r="A540" s="101" t="s">
        <v>875</v>
      </c>
      <c r="B540" s="425">
        <v>165</v>
      </c>
    </row>
    <row r="541" spans="1:2" hidden="1">
      <c r="A541" s="101" t="s">
        <v>251</v>
      </c>
      <c r="B541" s="425" t="e">
        <v>#N/A</v>
      </c>
    </row>
    <row r="542" spans="1:2" hidden="1">
      <c r="A542" s="101" t="s">
        <v>1248</v>
      </c>
      <c r="B542" s="425" t="e">
        <v>#N/A</v>
      </c>
    </row>
    <row r="543" spans="1:2">
      <c r="A543" s="101" t="s">
        <v>3475</v>
      </c>
      <c r="B543" s="425">
        <v>112</v>
      </c>
    </row>
    <row r="544" spans="1:2">
      <c r="A544" s="101" t="s">
        <v>1197</v>
      </c>
      <c r="B544" s="425">
        <v>57</v>
      </c>
    </row>
    <row r="545" spans="1:2">
      <c r="A545" s="101" t="s">
        <v>3688</v>
      </c>
      <c r="B545" s="425">
        <v>171</v>
      </c>
    </row>
    <row r="546" spans="1:2" hidden="1">
      <c r="A546" s="101" t="s">
        <v>1042</v>
      </c>
      <c r="B546" s="425" t="e">
        <v>#N/A</v>
      </c>
    </row>
    <row r="547" spans="1:2">
      <c r="A547" s="101" t="s">
        <v>505</v>
      </c>
      <c r="B547" s="425">
        <v>182.4</v>
      </c>
    </row>
    <row r="548" spans="1:2">
      <c r="A548" s="101" t="s">
        <v>1278</v>
      </c>
      <c r="B548" s="425">
        <v>79.8</v>
      </c>
    </row>
    <row r="549" spans="1:2" hidden="1">
      <c r="A549" s="101" t="s">
        <v>3822</v>
      </c>
      <c r="B549" s="425" t="e">
        <v>#N/A</v>
      </c>
    </row>
    <row r="550" spans="1:2" hidden="1">
      <c r="A550" s="101" t="s">
        <v>447</v>
      </c>
      <c r="B550" s="425" t="e">
        <v>#N/A</v>
      </c>
    </row>
    <row r="551" spans="1:2" hidden="1">
      <c r="A551" s="101" t="s">
        <v>585</v>
      </c>
      <c r="B551" s="425" t="e">
        <v>#N/A</v>
      </c>
    </row>
    <row r="552" spans="1:2" hidden="1">
      <c r="A552" s="101" t="s">
        <v>3476</v>
      </c>
      <c r="B552" s="425" t="e">
        <v>#N/A</v>
      </c>
    </row>
    <row r="553" spans="1:2" hidden="1">
      <c r="A553" s="101" t="s">
        <v>1037</v>
      </c>
      <c r="B553" s="425" t="e">
        <v>#N/A</v>
      </c>
    </row>
    <row r="554" spans="1:2" hidden="1">
      <c r="A554" s="101" t="s">
        <v>794</v>
      </c>
      <c r="B554" s="425" t="e">
        <v>#N/A</v>
      </c>
    </row>
    <row r="555" spans="1:2" hidden="1">
      <c r="A555" s="101" t="s">
        <v>3615</v>
      </c>
      <c r="B555" s="425" t="e">
        <v>#N/A</v>
      </c>
    </row>
    <row r="556" spans="1:2" hidden="1">
      <c r="A556" s="101" t="s">
        <v>618</v>
      </c>
      <c r="B556" s="425" t="e">
        <v>#N/A</v>
      </c>
    </row>
    <row r="557" spans="1:2" hidden="1">
      <c r="A557" s="101" t="s">
        <v>3622</v>
      </c>
      <c r="B557" s="425" t="e">
        <v>#N/A</v>
      </c>
    </row>
    <row r="558" spans="1:2">
      <c r="A558" s="101" t="s">
        <v>693</v>
      </c>
      <c r="B558" s="425">
        <v>0</v>
      </c>
    </row>
    <row r="559" spans="1:2" hidden="1">
      <c r="A559" s="101" t="s">
        <v>1051</v>
      </c>
      <c r="B559" s="425" t="e">
        <v>#N/A</v>
      </c>
    </row>
    <row r="560" spans="1:2" hidden="1">
      <c r="A560" s="101" t="s">
        <v>3055</v>
      </c>
      <c r="B560" s="425" t="e">
        <v>#N/A</v>
      </c>
    </row>
    <row r="561" spans="1:2" hidden="1">
      <c r="A561" s="101" t="s">
        <v>134</v>
      </c>
      <c r="B561" s="425" t="e">
        <v>#N/A</v>
      </c>
    </row>
    <row r="562" spans="1:2" hidden="1">
      <c r="A562" s="101" t="s">
        <v>176</v>
      </c>
      <c r="B562" s="425" t="e">
        <v>#N/A</v>
      </c>
    </row>
    <row r="563" spans="1:2" hidden="1">
      <c r="A563" s="101" t="s">
        <v>3817</v>
      </c>
      <c r="B563" s="425" t="e">
        <v>#N/A</v>
      </c>
    </row>
    <row r="564" spans="1:2" hidden="1">
      <c r="A564" s="101" t="s">
        <v>512</v>
      </c>
      <c r="B564" s="425" t="e">
        <v>#N/A</v>
      </c>
    </row>
    <row r="565" spans="1:2" hidden="1">
      <c r="A565" s="101" t="s">
        <v>737</v>
      </c>
      <c r="B565" s="425" t="e">
        <v>#N/A</v>
      </c>
    </row>
    <row r="566" spans="1:2">
      <c r="A566" s="101" t="s">
        <v>1086</v>
      </c>
      <c r="B566" s="425">
        <v>119</v>
      </c>
    </row>
    <row r="567" spans="1:2" hidden="1">
      <c r="A567" s="101" t="s">
        <v>2265</v>
      </c>
      <c r="B567" s="425" t="e">
        <v>#N/A</v>
      </c>
    </row>
    <row r="568" spans="1:2" hidden="1">
      <c r="A568" s="101" t="s">
        <v>3618</v>
      </c>
      <c r="B568" s="425" t="e">
        <v>#N/A</v>
      </c>
    </row>
    <row r="569" spans="1:2" hidden="1">
      <c r="A569" s="101" t="s">
        <v>660</v>
      </c>
      <c r="B569" s="425" t="e">
        <v>#N/A</v>
      </c>
    </row>
    <row r="570" spans="1:2" hidden="1">
      <c r="A570" s="101" t="s">
        <v>3078</v>
      </c>
      <c r="B570" s="425" t="e">
        <v>#N/A</v>
      </c>
    </row>
    <row r="571" spans="1:2" hidden="1">
      <c r="A571" s="101" t="s">
        <v>816</v>
      </c>
      <c r="B571" s="425" t="e">
        <v>#N/A</v>
      </c>
    </row>
    <row r="572" spans="1:2" hidden="1">
      <c r="A572" s="101" t="s">
        <v>828</v>
      </c>
      <c r="B572" s="425" t="e">
        <v>#N/A</v>
      </c>
    </row>
    <row r="573" spans="1:2" hidden="1">
      <c r="A573" s="101" t="s">
        <v>3631</v>
      </c>
      <c r="B573" s="425" t="e">
        <v>#N/A</v>
      </c>
    </row>
    <row r="574" spans="1:2" hidden="1">
      <c r="A574" s="101" t="s">
        <v>2060</v>
      </c>
      <c r="B574" s="425" t="e">
        <v>#N/A</v>
      </c>
    </row>
    <row r="575" spans="1:2" hidden="1">
      <c r="A575" s="101" t="s">
        <v>3477</v>
      </c>
      <c r="B575" s="425" t="e">
        <v>#N/A</v>
      </c>
    </row>
    <row r="576" spans="1:2">
      <c r="A576" s="101" t="s">
        <v>1010</v>
      </c>
      <c r="B576" s="425">
        <v>92</v>
      </c>
    </row>
    <row r="577" spans="1:2">
      <c r="A577" s="101" t="s">
        <v>446</v>
      </c>
      <c r="B577" s="425">
        <v>140</v>
      </c>
    </row>
    <row r="578" spans="1:2" hidden="1">
      <c r="A578" s="101" t="s">
        <v>464</v>
      </c>
      <c r="B578" s="425" t="e">
        <v>#N/A</v>
      </c>
    </row>
    <row r="579" spans="1:2">
      <c r="A579" s="101" t="s">
        <v>641</v>
      </c>
      <c r="B579" s="425">
        <v>119</v>
      </c>
    </row>
    <row r="580" spans="1:2" hidden="1">
      <c r="A580" s="101" t="s">
        <v>469</v>
      </c>
      <c r="B580" s="425" t="e">
        <v>#N/A</v>
      </c>
    </row>
    <row r="581" spans="1:2" hidden="1">
      <c r="A581" s="101" t="s">
        <v>3676</v>
      </c>
      <c r="B581" s="425" t="e">
        <v>#N/A</v>
      </c>
    </row>
    <row r="582" spans="1:2" hidden="1">
      <c r="A582" s="101" t="s">
        <v>3478</v>
      </c>
      <c r="B582" s="425" t="e">
        <v>#N/A</v>
      </c>
    </row>
    <row r="583" spans="1:2" hidden="1">
      <c r="A583" s="101" t="s">
        <v>210</v>
      </c>
      <c r="B583" s="425" t="e">
        <v>#N/A</v>
      </c>
    </row>
    <row r="584" spans="1:2" hidden="1">
      <c r="A584" s="101" t="s">
        <v>405</v>
      </c>
      <c r="B584" s="425" t="e">
        <v>#N/A</v>
      </c>
    </row>
    <row r="585" spans="1:2" hidden="1">
      <c r="A585" s="101" t="s">
        <v>294</v>
      </c>
      <c r="B585" s="425" t="e">
        <v>#N/A</v>
      </c>
    </row>
    <row r="586" spans="1:2">
      <c r="A586" s="101" t="s">
        <v>383</v>
      </c>
      <c r="B586" s="425">
        <v>93.4</v>
      </c>
    </row>
    <row r="587" spans="1:2">
      <c r="A587" s="101" t="s">
        <v>3719</v>
      </c>
      <c r="B587" s="425">
        <v>250</v>
      </c>
    </row>
    <row r="588" spans="1:2">
      <c r="A588" s="101" t="s">
        <v>401</v>
      </c>
      <c r="B588" s="425">
        <v>146.4</v>
      </c>
    </row>
    <row r="589" spans="1:2">
      <c r="A589" s="101" t="s">
        <v>513</v>
      </c>
      <c r="B589" s="425">
        <v>222.4</v>
      </c>
    </row>
    <row r="590" spans="1:2">
      <c r="A590" s="101" t="s">
        <v>762</v>
      </c>
      <c r="B590" s="425">
        <v>75.2</v>
      </c>
    </row>
    <row r="591" spans="1:2" hidden="1">
      <c r="A591" s="101" t="s">
        <v>3800</v>
      </c>
      <c r="B591" s="425" t="e">
        <v>#N/A</v>
      </c>
    </row>
    <row r="592" spans="1:2">
      <c r="A592" s="101" t="s">
        <v>1091</v>
      </c>
      <c r="B592" s="425">
        <v>338.4</v>
      </c>
    </row>
    <row r="593" spans="1:2" hidden="1">
      <c r="A593" s="101" t="s">
        <v>46</v>
      </c>
      <c r="B593" s="425" t="e">
        <v>#N/A</v>
      </c>
    </row>
    <row r="594" spans="1:2" hidden="1">
      <c r="A594" s="101" t="s">
        <v>845</v>
      </c>
      <c r="B594" s="425" t="e">
        <v>#N/A</v>
      </c>
    </row>
    <row r="595" spans="1:2" hidden="1">
      <c r="A595" s="101" t="s">
        <v>48</v>
      </c>
      <c r="B595" s="425" t="e">
        <v>#N/A</v>
      </c>
    </row>
    <row r="596" spans="1:2">
      <c r="A596" s="101" t="s">
        <v>554</v>
      </c>
      <c r="B596" s="425">
        <v>361.2</v>
      </c>
    </row>
    <row r="597" spans="1:2" hidden="1">
      <c r="A597" s="101" t="s">
        <v>2228</v>
      </c>
      <c r="B597" s="425" t="e">
        <v>#N/A</v>
      </c>
    </row>
    <row r="598" spans="1:2" hidden="1">
      <c r="A598" s="101" t="s">
        <v>1286</v>
      </c>
      <c r="B598" s="425" t="e">
        <v>#N/A</v>
      </c>
    </row>
    <row r="599" spans="1:2" hidden="1">
      <c r="A599" s="101" t="s">
        <v>52</v>
      </c>
      <c r="B599" s="425" t="e">
        <v>#N/A</v>
      </c>
    </row>
    <row r="600" spans="1:2" hidden="1">
      <c r="A600" s="101" t="s">
        <v>414</v>
      </c>
      <c r="B600" s="425" t="e">
        <v>#N/A</v>
      </c>
    </row>
    <row r="601" spans="1:2">
      <c r="A601" s="101" t="s">
        <v>54</v>
      </c>
      <c r="B601" s="425">
        <v>123.2</v>
      </c>
    </row>
    <row r="602" spans="1:2" hidden="1">
      <c r="A602" s="101" t="s">
        <v>1188</v>
      </c>
      <c r="B602" s="425" t="e">
        <v>#N/A</v>
      </c>
    </row>
    <row r="603" spans="1:2" hidden="1">
      <c r="A603" s="101" t="s">
        <v>55</v>
      </c>
      <c r="B603" s="425" t="e">
        <v>#N/A</v>
      </c>
    </row>
    <row r="604" spans="1:2" hidden="1">
      <c r="A604" s="101" t="s">
        <v>57</v>
      </c>
      <c r="B604" s="425" t="e">
        <v>#N/A</v>
      </c>
    </row>
    <row r="605" spans="1:2" hidden="1">
      <c r="A605" s="101" t="s">
        <v>58</v>
      </c>
      <c r="B605" s="425" t="e">
        <v>#N/A</v>
      </c>
    </row>
    <row r="606" spans="1:2" hidden="1">
      <c r="A606" s="101" t="s">
        <v>59</v>
      </c>
      <c r="B606" s="425" t="e">
        <v>#N/A</v>
      </c>
    </row>
    <row r="607" spans="1:2" hidden="1">
      <c r="A607" s="101" t="s">
        <v>60</v>
      </c>
      <c r="B607" s="425" t="e">
        <v>#N/A</v>
      </c>
    </row>
    <row r="608" spans="1:2" hidden="1">
      <c r="A608" s="101" t="s">
        <v>1240</v>
      </c>
      <c r="B608" s="425" t="e">
        <v>#N/A</v>
      </c>
    </row>
    <row r="609" spans="1:2" hidden="1">
      <c r="A609" s="101" t="s">
        <v>62</v>
      </c>
      <c r="B609" s="425" t="e">
        <v>#N/A</v>
      </c>
    </row>
    <row r="610" spans="1:2" hidden="1">
      <c r="A610" s="101" t="s">
        <v>3724</v>
      </c>
      <c r="B610" s="425" t="e">
        <v>#N/A</v>
      </c>
    </row>
    <row r="611" spans="1:2" hidden="1">
      <c r="A611" s="101" t="s">
        <v>301</v>
      </c>
      <c r="B611" s="425" t="e">
        <v>#N/A</v>
      </c>
    </row>
    <row r="612" spans="1:2" hidden="1">
      <c r="A612" s="101" t="s">
        <v>3805</v>
      </c>
      <c r="B612" s="425" t="e">
        <v>#N/A</v>
      </c>
    </row>
    <row r="613" spans="1:2" hidden="1">
      <c r="A613" s="101" t="s">
        <v>63</v>
      </c>
      <c r="B613" s="425" t="e">
        <v>#N/A</v>
      </c>
    </row>
    <row r="614" spans="1:2" hidden="1">
      <c r="A614" s="101" t="s">
        <v>65</v>
      </c>
      <c r="B614" s="425" t="e">
        <v>#N/A</v>
      </c>
    </row>
    <row r="615" spans="1:2">
      <c r="A615" s="101" t="s">
        <v>1256</v>
      </c>
      <c r="B615" s="425">
        <v>200</v>
      </c>
    </row>
    <row r="616" spans="1:2" hidden="1">
      <c r="A616" s="101" t="s">
        <v>67</v>
      </c>
      <c r="B616" s="425" t="e">
        <v>#N/A</v>
      </c>
    </row>
    <row r="617" spans="1:2" hidden="1">
      <c r="A617" s="101" t="s">
        <v>3806</v>
      </c>
      <c r="B617" s="425" t="e">
        <v>#N/A</v>
      </c>
    </row>
    <row r="618" spans="1:2" hidden="1">
      <c r="A618" s="101" t="s">
        <v>68</v>
      </c>
      <c r="B618" s="425" t="e">
        <v>#N/A</v>
      </c>
    </row>
    <row r="619" spans="1:2" hidden="1">
      <c r="A619" s="101" t="s">
        <v>3090</v>
      </c>
      <c r="B619" s="425" t="e">
        <v>#N/A</v>
      </c>
    </row>
    <row r="620" spans="1:2" hidden="1">
      <c r="A620" s="101" t="s">
        <v>3810</v>
      </c>
      <c r="B620" s="425" t="e">
        <v>#N/A</v>
      </c>
    </row>
    <row r="621" spans="1:2" hidden="1">
      <c r="A621" s="101" t="s">
        <v>75</v>
      </c>
      <c r="B621" s="425" t="e">
        <v>#N/A</v>
      </c>
    </row>
    <row r="622" spans="1:2" hidden="1">
      <c r="A622" s="101" t="s">
        <v>73</v>
      </c>
      <c r="B622" s="425" t="e">
        <v>#N/A</v>
      </c>
    </row>
    <row r="623" spans="1:2" hidden="1">
      <c r="A623" s="101" t="s">
        <v>71</v>
      </c>
      <c r="B623" s="425" t="e">
        <v>#N/A</v>
      </c>
    </row>
    <row r="624" spans="1:2" hidden="1">
      <c r="A624" s="101" t="s">
        <v>76</v>
      </c>
      <c r="B624" s="425" t="e">
        <v>#N/A</v>
      </c>
    </row>
    <row r="625" spans="1:2" hidden="1">
      <c r="A625" s="101" t="s">
        <v>78</v>
      </c>
      <c r="B625" s="425" t="e">
        <v>#N/A</v>
      </c>
    </row>
    <row r="626" spans="1:2">
      <c r="A626" s="101" t="s">
        <v>80</v>
      </c>
      <c r="B626" s="425">
        <v>188.7</v>
      </c>
    </row>
    <row r="627" spans="1:2" hidden="1">
      <c r="A627" s="101" t="s">
        <v>25</v>
      </c>
      <c r="B627" s="425" t="e">
        <v>#N/A</v>
      </c>
    </row>
    <row r="628" spans="1:2" hidden="1">
      <c r="A628" s="101" t="s">
        <v>1295</v>
      </c>
      <c r="B628" s="425" t="e">
        <v>#N/A</v>
      </c>
    </row>
    <row r="629" spans="1:2">
      <c r="A629" s="101" t="s">
        <v>41</v>
      </c>
      <c r="B629" s="425">
        <v>188</v>
      </c>
    </row>
    <row r="630" spans="1:2" hidden="1">
      <c r="A630" s="101" t="s">
        <v>1279</v>
      </c>
      <c r="B630" s="425" t="e">
        <v>#N/A</v>
      </c>
    </row>
    <row r="631" spans="1:2" hidden="1">
      <c r="A631" s="101" t="s">
        <v>83</v>
      </c>
      <c r="B631" s="425" t="e">
        <v>#N/A</v>
      </c>
    </row>
    <row r="632" spans="1:2" hidden="1">
      <c r="A632" s="101" t="s">
        <v>85</v>
      </c>
      <c r="B632" s="425" t="e">
        <v>#N/A</v>
      </c>
    </row>
    <row r="633" spans="1:2" hidden="1">
      <c r="A633" s="101" t="s">
        <v>86</v>
      </c>
      <c r="B633" s="425" t="e">
        <v>#N/A</v>
      </c>
    </row>
    <row r="634" spans="1:2" hidden="1">
      <c r="A634" s="101" t="s">
        <v>89</v>
      </c>
      <c r="B634" s="425" t="e">
        <v>#N/A</v>
      </c>
    </row>
    <row r="635" spans="1:2" hidden="1">
      <c r="A635" s="101" t="s">
        <v>2319</v>
      </c>
      <c r="B635" s="425" t="e">
        <v>#N/A</v>
      </c>
    </row>
    <row r="636" spans="1:2" hidden="1">
      <c r="A636" s="101" t="s">
        <v>91</v>
      </c>
      <c r="B636" s="425" t="e">
        <v>#N/A</v>
      </c>
    </row>
    <row r="637" spans="1:2" hidden="1">
      <c r="A637" s="101" t="s">
        <v>843</v>
      </c>
      <c r="B637" s="425" t="e">
        <v>#N/A</v>
      </c>
    </row>
    <row r="638" spans="1:2" hidden="1">
      <c r="A638" s="101" t="s">
        <v>87</v>
      </c>
      <c r="B638" s="425" t="e">
        <v>#N/A</v>
      </c>
    </row>
    <row r="639" spans="1:2" hidden="1">
      <c r="A639" s="101" t="s">
        <v>92</v>
      </c>
      <c r="B639" s="425" t="e">
        <v>#N/A</v>
      </c>
    </row>
    <row r="640" spans="1:2" hidden="1">
      <c r="A640" s="101" t="s">
        <v>94</v>
      </c>
      <c r="B640" s="425" t="e">
        <v>#N/A</v>
      </c>
    </row>
    <row r="641" spans="1:2" hidden="1">
      <c r="A641" s="101" t="s">
        <v>96</v>
      </c>
      <c r="B641" s="425" t="e">
        <v>#N/A</v>
      </c>
    </row>
    <row r="642" spans="1:2" hidden="1">
      <c r="A642" s="101" t="s">
        <v>95</v>
      </c>
      <c r="B642" s="425" t="e">
        <v>#N/A</v>
      </c>
    </row>
    <row r="643" spans="1:2" hidden="1">
      <c r="A643" s="101" t="s">
        <v>97</v>
      </c>
      <c r="B643" s="425" t="e">
        <v>#N/A</v>
      </c>
    </row>
    <row r="644" spans="1:2">
      <c r="A644" s="101" t="s">
        <v>98</v>
      </c>
      <c r="B644" s="425">
        <v>183</v>
      </c>
    </row>
    <row r="645" spans="1:2">
      <c r="A645" s="101" t="s">
        <v>915</v>
      </c>
      <c r="B645" s="425">
        <v>146.69999999999999</v>
      </c>
    </row>
    <row r="646" spans="1:2">
      <c r="A646" s="101" t="s">
        <v>3568</v>
      </c>
      <c r="B646" s="425">
        <v>123.2</v>
      </c>
    </row>
    <row r="647" spans="1:2">
      <c r="A647" s="101" t="s">
        <v>163</v>
      </c>
      <c r="B647" s="425">
        <v>240</v>
      </c>
    </row>
    <row r="648" spans="1:2">
      <c r="A648" s="101" t="s">
        <v>1327</v>
      </c>
      <c r="B648" s="425">
        <v>199.8</v>
      </c>
    </row>
    <row r="649" spans="1:2">
      <c r="A649" s="101" t="s">
        <v>128</v>
      </c>
      <c r="B649" s="425">
        <v>288.39999999999998</v>
      </c>
    </row>
    <row r="650" spans="1:2">
      <c r="A650" s="101" t="s">
        <v>3480</v>
      </c>
      <c r="B650" s="425">
        <v>271.2</v>
      </c>
    </row>
    <row r="651" spans="1:2">
      <c r="A651" s="101" t="s">
        <v>3545</v>
      </c>
      <c r="B651" s="425">
        <v>133.19999999999999</v>
      </c>
    </row>
    <row r="652" spans="1:2">
      <c r="A652" s="101" t="s">
        <v>3005</v>
      </c>
      <c r="B652" s="425">
        <v>199.8</v>
      </c>
    </row>
    <row r="653" spans="1:2">
      <c r="A653" s="101" t="s">
        <v>156</v>
      </c>
      <c r="B653" s="425">
        <v>255.6</v>
      </c>
    </row>
    <row r="654" spans="1:2">
      <c r="A654" s="101" t="s">
        <v>898</v>
      </c>
      <c r="B654" s="425">
        <v>148</v>
      </c>
    </row>
    <row r="655" spans="1:2">
      <c r="A655" s="101" t="s">
        <v>259</v>
      </c>
      <c r="B655" s="425">
        <v>155.4</v>
      </c>
    </row>
    <row r="656" spans="1:2">
      <c r="A656" s="101" t="s">
        <v>3071</v>
      </c>
      <c r="B656" s="425">
        <v>318.2</v>
      </c>
    </row>
    <row r="657" spans="1:2">
      <c r="A657" s="101" t="s">
        <v>297</v>
      </c>
      <c r="B657" s="425">
        <v>426.6</v>
      </c>
    </row>
    <row r="658" spans="1:2">
      <c r="A658" s="101" t="s">
        <v>3547</v>
      </c>
      <c r="B658" s="425">
        <v>256.39999999999998</v>
      </c>
    </row>
    <row r="659" spans="1:2">
      <c r="A659" s="101" t="s">
        <v>1237</v>
      </c>
      <c r="B659" s="425">
        <v>148</v>
      </c>
    </row>
    <row r="660" spans="1:2">
      <c r="A660" s="101" t="s">
        <v>1614</v>
      </c>
      <c r="B660" s="425">
        <v>333</v>
      </c>
    </row>
    <row r="661" spans="1:2">
      <c r="A661" s="101" t="s">
        <v>381</v>
      </c>
      <c r="B661" s="425">
        <v>171.02</v>
      </c>
    </row>
    <row r="662" spans="1:2" hidden="1">
      <c r="A662" s="101" t="s">
        <v>3030</v>
      </c>
      <c r="B662" s="425" t="e">
        <v>#N/A</v>
      </c>
    </row>
    <row r="663" spans="1:2">
      <c r="A663" s="101" t="s">
        <v>3087</v>
      </c>
      <c r="B663" s="425">
        <v>125.8</v>
      </c>
    </row>
    <row r="664" spans="1:2">
      <c r="A664" s="101" t="s">
        <v>1320</v>
      </c>
      <c r="B664" s="425">
        <v>293.39999999999998</v>
      </c>
    </row>
    <row r="665" spans="1:2">
      <c r="A665" s="101" t="s">
        <v>3481</v>
      </c>
      <c r="B665" s="425">
        <v>133.19999999999999</v>
      </c>
    </row>
    <row r="666" spans="1:2">
      <c r="A666" s="101" t="s">
        <v>3080</v>
      </c>
      <c r="B666" s="425">
        <v>333</v>
      </c>
    </row>
    <row r="667" spans="1:2">
      <c r="A667" s="101" t="s">
        <v>562</v>
      </c>
      <c r="B667" s="425">
        <v>65.2</v>
      </c>
    </row>
    <row r="668" spans="1:2">
      <c r="A668" s="101" t="s">
        <v>3686</v>
      </c>
      <c r="B668" s="425">
        <v>271.5</v>
      </c>
    </row>
    <row r="669" spans="1:2" hidden="1">
      <c r="A669" s="101" t="s">
        <v>577</v>
      </c>
      <c r="B669" s="425" t="e">
        <v>#N/A</v>
      </c>
    </row>
    <row r="670" spans="1:2">
      <c r="A670" s="101" t="s">
        <v>3548</v>
      </c>
      <c r="B670" s="425">
        <v>133.19999999999999</v>
      </c>
    </row>
    <row r="671" spans="1:2">
      <c r="A671" s="101" t="s">
        <v>3482</v>
      </c>
      <c r="B671" s="425">
        <v>199.8</v>
      </c>
    </row>
    <row r="672" spans="1:2">
      <c r="A672" s="101" t="s">
        <v>3114</v>
      </c>
      <c r="B672" s="425">
        <v>133.19999999999999</v>
      </c>
    </row>
    <row r="673" spans="1:2">
      <c r="A673" s="101" t="s">
        <v>3483</v>
      </c>
      <c r="B673" s="425">
        <v>321.89999999999998</v>
      </c>
    </row>
    <row r="674" spans="1:2">
      <c r="A674" s="101" t="s">
        <v>1218</v>
      </c>
      <c r="B674" s="425">
        <v>293.39999999999998</v>
      </c>
    </row>
    <row r="675" spans="1:2">
      <c r="A675" s="101" t="s">
        <v>664</v>
      </c>
      <c r="B675" s="425">
        <v>316.8</v>
      </c>
    </row>
    <row r="676" spans="1:2">
      <c r="A676" s="101" t="s">
        <v>3549</v>
      </c>
      <c r="B676" s="425">
        <v>247.9</v>
      </c>
    </row>
    <row r="677" spans="1:2">
      <c r="A677" s="101" t="s">
        <v>3788</v>
      </c>
      <c r="B677" s="425">
        <v>81.400000000000006</v>
      </c>
    </row>
    <row r="678" spans="1:2">
      <c r="A678" s="101" t="s">
        <v>3484</v>
      </c>
      <c r="B678" s="425">
        <v>99.9</v>
      </c>
    </row>
    <row r="679" spans="1:2">
      <c r="A679" s="101" t="s">
        <v>3485</v>
      </c>
      <c r="B679" s="425">
        <v>199.8</v>
      </c>
    </row>
    <row r="680" spans="1:2">
      <c r="A680" s="101" t="s">
        <v>2426</v>
      </c>
      <c r="B680" s="425">
        <v>160.19999999999999</v>
      </c>
    </row>
    <row r="681" spans="1:2">
      <c r="A681" s="101" t="s">
        <v>1291</v>
      </c>
      <c r="B681" s="425">
        <v>293.39999999999998</v>
      </c>
    </row>
    <row r="682" spans="1:2">
      <c r="A682" s="101" t="s">
        <v>3023</v>
      </c>
      <c r="B682" s="425">
        <v>127.8</v>
      </c>
    </row>
    <row r="683" spans="1:2" hidden="1">
      <c r="A683" s="101" t="s">
        <v>850</v>
      </c>
      <c r="B683" s="425" t="e">
        <v>#N/A</v>
      </c>
    </row>
    <row r="684" spans="1:2">
      <c r="A684" s="101" t="s">
        <v>853</v>
      </c>
      <c r="B684" s="425">
        <v>210.9</v>
      </c>
    </row>
    <row r="685" spans="1:2">
      <c r="A685" s="101" t="s">
        <v>3550</v>
      </c>
      <c r="B685" s="425">
        <v>178</v>
      </c>
    </row>
    <row r="686" spans="1:2">
      <c r="A686" s="101" t="s">
        <v>1005</v>
      </c>
      <c r="B686" s="425">
        <v>148</v>
      </c>
    </row>
    <row r="687" spans="1:2">
      <c r="A687" s="101" t="s">
        <v>889</v>
      </c>
      <c r="B687" s="425">
        <v>316.8</v>
      </c>
    </row>
    <row r="688" spans="1:2">
      <c r="A688" s="101" t="s">
        <v>1315</v>
      </c>
      <c r="B688" s="425">
        <v>133.19999999999999</v>
      </c>
    </row>
    <row r="689" spans="1:2">
      <c r="A689" s="101" t="s">
        <v>910</v>
      </c>
      <c r="B689" s="425">
        <v>0</v>
      </c>
    </row>
    <row r="690" spans="1:2">
      <c r="A690" s="101" t="s">
        <v>3546</v>
      </c>
      <c r="B690" s="425">
        <v>225.1</v>
      </c>
    </row>
    <row r="691" spans="1:2" hidden="1">
      <c r="A691" s="101" t="s">
        <v>911</v>
      </c>
      <c r="B691" s="425" t="e">
        <v>#N/A</v>
      </c>
    </row>
    <row r="692" spans="1:2">
      <c r="A692" s="101" t="s">
        <v>3486</v>
      </c>
      <c r="B692" s="425">
        <v>293.39999999999998</v>
      </c>
    </row>
    <row r="693" spans="1:2">
      <c r="A693" s="101" t="s">
        <v>2998</v>
      </c>
      <c r="B693" s="425">
        <v>337</v>
      </c>
    </row>
    <row r="694" spans="1:2">
      <c r="A694" s="101" t="s">
        <v>3551</v>
      </c>
      <c r="B694" s="425">
        <v>133.19999999999999</v>
      </c>
    </row>
    <row r="695" spans="1:2">
      <c r="A695" s="101" t="s">
        <v>923</v>
      </c>
      <c r="B695" s="425">
        <v>133.19999999999999</v>
      </c>
    </row>
    <row r="696" spans="1:2">
      <c r="A696" s="101" t="s">
        <v>925</v>
      </c>
      <c r="B696" s="425">
        <v>51.8</v>
      </c>
    </row>
    <row r="697" spans="1:2">
      <c r="A697" s="101" t="s">
        <v>3722</v>
      </c>
      <c r="B697" s="425">
        <v>222</v>
      </c>
    </row>
    <row r="698" spans="1:2">
      <c r="A698" s="101" t="s">
        <v>1298</v>
      </c>
      <c r="B698" s="425">
        <v>162.80000000000001</v>
      </c>
    </row>
    <row r="699" spans="1:2">
      <c r="A699" s="101" t="s">
        <v>927</v>
      </c>
      <c r="B699" s="425">
        <v>199.8</v>
      </c>
    </row>
    <row r="700" spans="1:2">
      <c r="A700" s="101" t="s">
        <v>935</v>
      </c>
      <c r="B700" s="425">
        <v>177.4</v>
      </c>
    </row>
    <row r="701" spans="1:2">
      <c r="A701" s="101" t="s">
        <v>3552</v>
      </c>
      <c r="B701" s="425">
        <v>133.19999999999999</v>
      </c>
    </row>
    <row r="702" spans="1:2">
      <c r="A702" s="101" t="s">
        <v>2350</v>
      </c>
      <c r="B702" s="425">
        <v>71.400000000000006</v>
      </c>
    </row>
    <row r="703" spans="1:2">
      <c r="A703" s="101" t="s">
        <v>3703</v>
      </c>
      <c r="B703" s="425">
        <v>326</v>
      </c>
    </row>
    <row r="704" spans="1:2" hidden="1">
      <c r="A704" s="101" t="s">
        <v>937</v>
      </c>
      <c r="B704" s="425" t="e">
        <v>#N/A</v>
      </c>
    </row>
    <row r="705" spans="1:2">
      <c r="A705" s="101" t="s">
        <v>939</v>
      </c>
      <c r="B705" s="425">
        <v>199.8</v>
      </c>
    </row>
    <row r="706" spans="1:2">
      <c r="A706" s="101" t="s">
        <v>3487</v>
      </c>
      <c r="B706" s="425">
        <v>280.8</v>
      </c>
    </row>
    <row r="707" spans="1:2">
      <c r="A707" s="101" t="s">
        <v>945</v>
      </c>
      <c r="B707" s="425">
        <v>352</v>
      </c>
    </row>
    <row r="708" spans="1:2">
      <c r="A708" s="101" t="s">
        <v>3553</v>
      </c>
      <c r="B708" s="425">
        <v>148</v>
      </c>
    </row>
    <row r="709" spans="1:2">
      <c r="A709" s="101" t="s">
        <v>2332</v>
      </c>
      <c r="B709" s="425">
        <v>302.39999999999998</v>
      </c>
    </row>
    <row r="710" spans="1:2">
      <c r="A710" s="101" t="s">
        <v>1328</v>
      </c>
      <c r="B710" s="425">
        <v>122.1</v>
      </c>
    </row>
    <row r="711" spans="1:2" hidden="1">
      <c r="A711" s="101" t="s">
        <v>3801</v>
      </c>
      <c r="B711" s="425" t="e">
        <v>#N/A</v>
      </c>
    </row>
    <row r="712" spans="1:2">
      <c r="A712" s="101" t="s">
        <v>3036</v>
      </c>
      <c r="B712" s="425">
        <v>188.7</v>
      </c>
    </row>
    <row r="713" spans="1:2">
      <c r="A713" s="101" t="s">
        <v>1187</v>
      </c>
      <c r="B713" s="425">
        <v>199.8</v>
      </c>
    </row>
    <row r="714" spans="1:2">
      <c r="A714" s="101" t="s">
        <v>2986</v>
      </c>
      <c r="B714" s="425">
        <v>194.25</v>
      </c>
    </row>
    <row r="715" spans="1:2">
      <c r="A715" s="101" t="s">
        <v>3554</v>
      </c>
      <c r="B715" s="425">
        <v>135.9</v>
      </c>
    </row>
    <row r="716" spans="1:2">
      <c r="A716" s="101" t="s">
        <v>1032</v>
      </c>
      <c r="B716" s="425">
        <v>158.4</v>
      </c>
    </row>
    <row r="717" spans="1:2" hidden="1">
      <c r="A717" s="101" t="s">
        <v>3740</v>
      </c>
      <c r="B717" s="425" t="e">
        <v>#N/A</v>
      </c>
    </row>
    <row r="718" spans="1:2">
      <c r="A718" s="101" t="s">
        <v>1058</v>
      </c>
      <c r="B718" s="425">
        <v>199.8</v>
      </c>
    </row>
    <row r="719" spans="1:2">
      <c r="A719" s="101" t="s">
        <v>3488</v>
      </c>
      <c r="B719" s="425">
        <v>177.6</v>
      </c>
    </row>
    <row r="720" spans="1:2" hidden="1">
      <c r="A720" s="101" t="s">
        <v>3803</v>
      </c>
      <c r="B720" s="425" t="e">
        <v>#N/A</v>
      </c>
    </row>
    <row r="721" spans="1:2">
      <c r="A721" s="101" t="s">
        <v>1065</v>
      </c>
      <c r="B721" s="425">
        <v>77.7</v>
      </c>
    </row>
    <row r="722" spans="1:2" hidden="1">
      <c r="A722" s="101" t="s">
        <v>3820</v>
      </c>
      <c r="B722" s="425" t="e">
        <v>#N/A</v>
      </c>
    </row>
    <row r="723" spans="1:2">
      <c r="A723" s="101" t="s">
        <v>2991</v>
      </c>
      <c r="B723" s="425">
        <v>296.39999999999998</v>
      </c>
    </row>
    <row r="724" spans="1:2">
      <c r="A724" s="101" t="s">
        <v>3037</v>
      </c>
      <c r="B724" s="425">
        <v>188.7</v>
      </c>
    </row>
    <row r="725" spans="1:2">
      <c r="A725" s="101" t="s">
        <v>3011</v>
      </c>
      <c r="B725" s="425">
        <v>133.19999999999999</v>
      </c>
    </row>
    <row r="726" spans="1:2">
      <c r="A726" s="101" t="s">
        <v>1109</v>
      </c>
      <c r="B726" s="425">
        <v>177.6</v>
      </c>
    </row>
    <row r="727" spans="1:2">
      <c r="A727" s="101" t="s">
        <v>1304</v>
      </c>
      <c r="B727" s="425">
        <v>428.4</v>
      </c>
    </row>
    <row r="728" spans="1:2">
      <c r="A728" s="101" t="s">
        <v>3555</v>
      </c>
      <c r="B728" s="425">
        <v>210.9</v>
      </c>
    </row>
    <row r="729" spans="1:2">
      <c r="A729" s="101" t="s">
        <v>1321</v>
      </c>
      <c r="B729" s="425">
        <v>222</v>
      </c>
    </row>
    <row r="730" spans="1:2">
      <c r="A730" s="101" t="s">
        <v>1169</v>
      </c>
      <c r="B730" s="425">
        <v>199.8</v>
      </c>
    </row>
    <row r="731" spans="1:2">
      <c r="A731" s="101" t="s">
        <v>1080</v>
      </c>
      <c r="B731" s="425">
        <v>340.2</v>
      </c>
    </row>
    <row r="732" spans="1:2" hidden="1">
      <c r="A732" s="101" t="s">
        <v>3491</v>
      </c>
      <c r="B732" s="425" t="e">
        <v>#N/A</v>
      </c>
    </row>
    <row r="733" spans="1:2" hidden="1">
      <c r="A733" s="101" t="s">
        <v>3492</v>
      </c>
      <c r="B733" s="425" t="e">
        <v>#N/A</v>
      </c>
    </row>
    <row r="734" spans="1:2" hidden="1">
      <c r="A734" s="101" t="s">
        <v>434</v>
      </c>
      <c r="B734" s="425" t="e">
        <v>#N/A</v>
      </c>
    </row>
    <row r="735" spans="1:2" hidden="1">
      <c r="A735" s="101" t="s">
        <v>3493</v>
      </c>
      <c r="B735" s="425" t="e">
        <v>#N/A</v>
      </c>
    </row>
    <row r="736" spans="1:2" hidden="1">
      <c r="A736" s="101" t="s">
        <v>1090</v>
      </c>
      <c r="B736" s="425" t="e">
        <v>#N/A</v>
      </c>
    </row>
    <row r="737" spans="1:2">
      <c r="A737" s="101" t="s">
        <v>2360</v>
      </c>
      <c r="B737" s="425">
        <v>72</v>
      </c>
    </row>
    <row r="738" spans="1:2" hidden="1">
      <c r="A738" s="101" t="s">
        <v>1088</v>
      </c>
      <c r="B738" s="425" t="e">
        <v>#N/A</v>
      </c>
    </row>
    <row r="739" spans="1:2" hidden="1">
      <c r="A739" s="101" t="s">
        <v>956</v>
      </c>
      <c r="B739" s="425" t="e">
        <v>#N/A</v>
      </c>
    </row>
    <row r="740" spans="1:2" hidden="1">
      <c r="A740" s="101" t="s">
        <v>883</v>
      </c>
      <c r="B740" s="425" t="e">
        <v>#N/A</v>
      </c>
    </row>
    <row r="741" spans="1:2" hidden="1">
      <c r="A741" s="101" t="s">
        <v>1003</v>
      </c>
      <c r="B741" s="425" t="e">
        <v>#N/A</v>
      </c>
    </row>
    <row r="742" spans="1:2">
      <c r="A742" s="101" t="s">
        <v>3494</v>
      </c>
      <c r="B742" s="425">
        <v>116</v>
      </c>
    </row>
    <row r="743" spans="1:2">
      <c r="A743" s="101" t="s">
        <v>553</v>
      </c>
      <c r="B743" s="425">
        <v>116</v>
      </c>
    </row>
    <row r="744" spans="1:2" hidden="1">
      <c r="A744" s="101" t="s">
        <v>2000</v>
      </c>
      <c r="B744" s="425" t="e">
        <v>#N/A</v>
      </c>
    </row>
    <row r="745" spans="1:2" hidden="1">
      <c r="A745" s="101" t="s">
        <v>1209</v>
      </c>
      <c r="B745" s="425" t="e">
        <v>#N/A</v>
      </c>
    </row>
    <row r="746" spans="1:2">
      <c r="A746" s="101" t="s">
        <v>869</v>
      </c>
      <c r="B746" s="425">
        <v>108</v>
      </c>
    </row>
    <row r="747" spans="1:2">
      <c r="A747" s="101" t="s">
        <v>1134</v>
      </c>
      <c r="B747" s="425">
        <v>108</v>
      </c>
    </row>
    <row r="748" spans="1:2" hidden="1">
      <c r="A748" s="101" t="s">
        <v>3495</v>
      </c>
      <c r="B748" s="425" t="e">
        <v>#N/A</v>
      </c>
    </row>
    <row r="749" spans="1:2">
      <c r="A749" s="101" t="s">
        <v>576</v>
      </c>
      <c r="B749" s="425">
        <v>377.3</v>
      </c>
    </row>
    <row r="750" spans="1:2">
      <c r="A750" s="101" t="s">
        <v>3067</v>
      </c>
      <c r="B750" s="425">
        <v>158.80000000000001</v>
      </c>
    </row>
    <row r="751" spans="1:2">
      <c r="A751" s="101" t="s">
        <v>3496</v>
      </c>
      <c r="B751" s="425">
        <v>151.4</v>
      </c>
    </row>
    <row r="752" spans="1:2" hidden="1">
      <c r="A752" s="101" t="s">
        <v>757</v>
      </c>
      <c r="B752" s="425" t="e">
        <v>#N/A</v>
      </c>
    </row>
    <row r="753" spans="1:2">
      <c r="A753" s="101" t="s">
        <v>2428</v>
      </c>
      <c r="B753" s="425">
        <v>59.4</v>
      </c>
    </row>
    <row r="754" spans="1:2">
      <c r="A754" s="101" t="s">
        <v>3669</v>
      </c>
      <c r="B754" s="425">
        <v>132</v>
      </c>
    </row>
    <row r="755" spans="1:2" hidden="1">
      <c r="A755" s="101" t="s">
        <v>3794</v>
      </c>
      <c r="B755" s="425" t="e">
        <v>#N/A</v>
      </c>
    </row>
    <row r="756" spans="1:2">
      <c r="A756" s="101" t="s">
        <v>160</v>
      </c>
      <c r="B756" s="425">
        <v>100</v>
      </c>
    </row>
    <row r="757" spans="1:2">
      <c r="A757" s="101" t="s">
        <v>918</v>
      </c>
      <c r="B757" s="425">
        <v>85.5</v>
      </c>
    </row>
    <row r="758" spans="1:2">
      <c r="A758" s="101" t="s">
        <v>3497</v>
      </c>
      <c r="B758" s="425">
        <v>87.4</v>
      </c>
    </row>
    <row r="759" spans="1:2">
      <c r="A759" s="101" t="s">
        <v>378</v>
      </c>
      <c r="B759" s="425">
        <v>70</v>
      </c>
    </row>
    <row r="760" spans="1:2" hidden="1">
      <c r="A760" s="101" t="s">
        <v>790</v>
      </c>
      <c r="B760" s="425" t="e">
        <v>#N/A</v>
      </c>
    </row>
    <row r="761" spans="1:2" hidden="1">
      <c r="A761" s="101" t="s">
        <v>2187</v>
      </c>
      <c r="B761" s="425" t="e">
        <v>#N/A</v>
      </c>
    </row>
    <row r="762" spans="1:2" hidden="1">
      <c r="A762" s="101" t="s">
        <v>1251</v>
      </c>
      <c r="B762" s="425" t="e">
        <v>#N/A</v>
      </c>
    </row>
    <row r="763" spans="1:2">
      <c r="A763" s="101" t="s">
        <v>3498</v>
      </c>
      <c r="B763" s="425">
        <v>76</v>
      </c>
    </row>
    <row r="764" spans="1:2">
      <c r="A764" s="101" t="s">
        <v>291</v>
      </c>
      <c r="B764" s="425">
        <v>66</v>
      </c>
    </row>
    <row r="765" spans="1:2" hidden="1">
      <c r="A765" s="101" t="s">
        <v>951</v>
      </c>
      <c r="B765" s="425" t="e">
        <v>#N/A</v>
      </c>
    </row>
    <row r="766" spans="1:2" hidden="1">
      <c r="A766" s="101" t="s">
        <v>913</v>
      </c>
      <c r="B766" s="425" t="e">
        <v>#N/A</v>
      </c>
    </row>
    <row r="767" spans="1:2" hidden="1">
      <c r="A767" s="101" t="s">
        <v>946</v>
      </c>
      <c r="B767" s="425" t="e">
        <v>#N/A</v>
      </c>
    </row>
    <row r="768" spans="1:2">
      <c r="A768" s="101" t="s">
        <v>3672</v>
      </c>
      <c r="B768" s="425">
        <v>20.8</v>
      </c>
    </row>
    <row r="769" spans="1:2" hidden="1">
      <c r="A769" s="101" t="s">
        <v>3556</v>
      </c>
      <c r="B769" s="425" t="e">
        <v>#N/A</v>
      </c>
    </row>
    <row r="770" spans="1:2">
      <c r="A770" s="101" t="s">
        <v>3557</v>
      </c>
      <c r="B770" s="425">
        <v>103.6</v>
      </c>
    </row>
    <row r="771" spans="1:2">
      <c r="A771" s="101" t="s">
        <v>3558</v>
      </c>
      <c r="B771" s="425">
        <v>88.8</v>
      </c>
    </row>
    <row r="772" spans="1:2">
      <c r="A772" s="101" t="s">
        <v>296</v>
      </c>
      <c r="B772" s="425">
        <v>239.4</v>
      </c>
    </row>
    <row r="773" spans="1:2">
      <c r="A773" s="101" t="s">
        <v>3559</v>
      </c>
      <c r="B773" s="425">
        <v>96.2</v>
      </c>
    </row>
    <row r="774" spans="1:2">
      <c r="A774" s="101" t="s">
        <v>755</v>
      </c>
      <c r="B774" s="425">
        <v>107.8</v>
      </c>
    </row>
    <row r="775" spans="1:2" hidden="1">
      <c r="A775" s="101" t="s">
        <v>1084</v>
      </c>
      <c r="B775" s="425" t="e">
        <v>#N/A</v>
      </c>
    </row>
    <row r="776" spans="1:2" hidden="1">
      <c r="A776" s="101" t="s">
        <v>637</v>
      </c>
      <c r="B776" s="425" t="e">
        <v>#N/A</v>
      </c>
    </row>
    <row r="777" spans="1:2">
      <c r="A777" s="101" t="s">
        <v>3116</v>
      </c>
      <c r="B777" s="425">
        <v>120</v>
      </c>
    </row>
    <row r="778" spans="1:2" hidden="1">
      <c r="A778" s="101" t="s">
        <v>996</v>
      </c>
      <c r="B778" s="425" t="e">
        <v>#N/A</v>
      </c>
    </row>
    <row r="779" spans="1:2" hidden="1">
      <c r="A779" s="101" t="s">
        <v>855</v>
      </c>
      <c r="B779" s="425" t="e">
        <v>#N/A</v>
      </c>
    </row>
    <row r="780" spans="1:2" hidden="1">
      <c r="A780" s="101" t="s">
        <v>3734</v>
      </c>
      <c r="B780" s="425" t="e">
        <v>#N/A</v>
      </c>
    </row>
    <row r="781" spans="1:2">
      <c r="A781" s="101" t="s">
        <v>3560</v>
      </c>
      <c r="B781" s="425">
        <v>81.900000000000006</v>
      </c>
    </row>
    <row r="782" spans="1:2" hidden="1">
      <c r="A782" s="101" t="s">
        <v>3499</v>
      </c>
      <c r="B782" s="425" t="e">
        <v>#N/A</v>
      </c>
    </row>
    <row r="783" spans="1:2">
      <c r="A783" s="101" t="s">
        <v>3500</v>
      </c>
      <c r="B783" s="425">
        <v>126</v>
      </c>
    </row>
    <row r="784" spans="1:2" hidden="1">
      <c r="A784" s="101" t="s">
        <v>914</v>
      </c>
      <c r="B784" s="425" t="e">
        <v>#N/A</v>
      </c>
    </row>
    <row r="785" spans="1:2">
      <c r="A785" s="101" t="s">
        <v>1309</v>
      </c>
      <c r="B785" s="425">
        <v>126</v>
      </c>
    </row>
    <row r="786" spans="1:2" hidden="1">
      <c r="A786" s="101" t="s">
        <v>3501</v>
      </c>
      <c r="B786" s="425" t="e">
        <v>#N/A</v>
      </c>
    </row>
    <row r="787" spans="1:2">
      <c r="A787" s="101" t="s">
        <v>970</v>
      </c>
      <c r="B787" s="425">
        <v>23.2</v>
      </c>
    </row>
    <row r="788" spans="1:2">
      <c r="A788" s="101" t="s">
        <v>3687</v>
      </c>
      <c r="B788" s="425">
        <v>232</v>
      </c>
    </row>
    <row r="789" spans="1:2">
      <c r="A789" s="101" t="s">
        <v>966</v>
      </c>
      <c r="B789" s="425">
        <v>116</v>
      </c>
    </row>
    <row r="790" spans="1:2" hidden="1">
      <c r="A790" s="101" t="s">
        <v>3502</v>
      </c>
      <c r="B790" s="425" t="e">
        <v>#N/A</v>
      </c>
    </row>
    <row r="791" spans="1:2">
      <c r="A791" s="101" t="s">
        <v>425</v>
      </c>
      <c r="B791" s="425">
        <v>198</v>
      </c>
    </row>
    <row r="792" spans="1:2">
      <c r="A792" s="101" t="s">
        <v>3503</v>
      </c>
      <c r="B792" s="425">
        <v>132</v>
      </c>
    </row>
    <row r="793" spans="1:2">
      <c r="A793" s="101" t="s">
        <v>3504</v>
      </c>
      <c r="B793" s="425">
        <v>118.8</v>
      </c>
    </row>
    <row r="794" spans="1:2" hidden="1">
      <c r="A794" s="101" t="s">
        <v>886</v>
      </c>
      <c r="B794" s="425" t="e">
        <v>#N/A</v>
      </c>
    </row>
    <row r="795" spans="1:2" hidden="1">
      <c r="A795" s="101" t="s">
        <v>895</v>
      </c>
      <c r="B795" s="425" t="e">
        <v>#N/A</v>
      </c>
    </row>
    <row r="796" spans="1:2" hidden="1">
      <c r="A796" s="101" t="s">
        <v>691</v>
      </c>
      <c r="B796" s="425" t="e">
        <v>#N/A</v>
      </c>
    </row>
    <row r="797" spans="1:2" hidden="1">
      <c r="A797" s="101" t="s">
        <v>3006</v>
      </c>
      <c r="B797" s="425" t="e">
        <v>#N/A</v>
      </c>
    </row>
    <row r="798" spans="1:2">
      <c r="A798" s="101" t="s">
        <v>902</v>
      </c>
      <c r="B798" s="425">
        <v>305.60000000000002</v>
      </c>
    </row>
    <row r="799" spans="1:2">
      <c r="A799" s="101" t="s">
        <v>579</v>
      </c>
      <c r="B799" s="425">
        <v>147.6</v>
      </c>
    </row>
    <row r="800" spans="1:2">
      <c r="A800" s="101" t="s">
        <v>1180</v>
      </c>
      <c r="B800" s="425">
        <v>111.6</v>
      </c>
    </row>
    <row r="801" spans="1:2" hidden="1">
      <c r="A801" s="101" t="s">
        <v>373</v>
      </c>
      <c r="B801" s="425" t="e">
        <v>#N/A</v>
      </c>
    </row>
    <row r="802" spans="1:2">
      <c r="A802" s="101" t="s">
        <v>3505</v>
      </c>
      <c r="B802" s="425">
        <v>23.1</v>
      </c>
    </row>
    <row r="803" spans="1:2">
      <c r="A803" s="101" t="s">
        <v>684</v>
      </c>
      <c r="B803" s="425">
        <v>112</v>
      </c>
    </row>
    <row r="804" spans="1:2">
      <c r="A804" s="101" t="s">
        <v>1201</v>
      </c>
      <c r="B804" s="425">
        <v>80</v>
      </c>
    </row>
    <row r="805" spans="1:2" hidden="1">
      <c r="A805" s="101" t="s">
        <v>1212</v>
      </c>
      <c r="B805" s="425" t="e">
        <v>#N/A</v>
      </c>
    </row>
    <row r="806" spans="1:2" hidden="1">
      <c r="A806" s="101" t="s">
        <v>929</v>
      </c>
      <c r="B806" s="425" t="e">
        <v>#N/A</v>
      </c>
    </row>
    <row r="807" spans="1:2">
      <c r="A807" s="101" t="s">
        <v>3019</v>
      </c>
      <c r="B807" s="425">
        <v>126</v>
      </c>
    </row>
    <row r="808" spans="1:2" hidden="1">
      <c r="A808" s="101" t="s">
        <v>1311</v>
      </c>
      <c r="B808" s="425" t="e">
        <v>#N/A</v>
      </c>
    </row>
    <row r="809" spans="1:2" hidden="1">
      <c r="A809" s="101" t="s">
        <v>1195</v>
      </c>
      <c r="B809" s="425" t="e">
        <v>#N/A</v>
      </c>
    </row>
    <row r="810" spans="1:2" hidden="1">
      <c r="A810" s="101" t="s">
        <v>1216</v>
      </c>
      <c r="B810" s="425" t="e">
        <v>#N/A</v>
      </c>
    </row>
    <row r="811" spans="1:2">
      <c r="A811" s="101" t="s">
        <v>3506</v>
      </c>
      <c r="B811" s="425">
        <v>90</v>
      </c>
    </row>
    <row r="812" spans="1:2">
      <c r="A812" s="101" t="s">
        <v>1853</v>
      </c>
      <c r="B812" s="425">
        <v>200</v>
      </c>
    </row>
    <row r="813" spans="1:2">
      <c r="A813" s="101" t="s">
        <v>549</v>
      </c>
      <c r="B813" s="425">
        <v>104</v>
      </c>
    </row>
    <row r="814" spans="1:2">
      <c r="A814" s="101" t="s">
        <v>561</v>
      </c>
      <c r="B814" s="425">
        <v>201.6</v>
      </c>
    </row>
    <row r="815" spans="1:2" hidden="1">
      <c r="A815" s="101" t="s">
        <v>192</v>
      </c>
      <c r="B815" s="425" t="e">
        <v>#N/A</v>
      </c>
    </row>
    <row r="816" spans="1:2" hidden="1">
      <c r="A816" s="101" t="s">
        <v>564</v>
      </c>
      <c r="B816" s="425" t="e">
        <v>#N/A</v>
      </c>
    </row>
    <row r="817" spans="1:2">
      <c r="A817" s="101" t="s">
        <v>3697</v>
      </c>
      <c r="B817" s="425">
        <v>110</v>
      </c>
    </row>
    <row r="818" spans="1:2">
      <c r="A818" s="101" t="s">
        <v>3666</v>
      </c>
      <c r="B818" s="425">
        <v>100</v>
      </c>
    </row>
    <row r="819" spans="1:2">
      <c r="A819" s="101" t="s">
        <v>3639</v>
      </c>
      <c r="B819" s="425">
        <v>100</v>
      </c>
    </row>
    <row r="820" spans="1:2" hidden="1">
      <c r="A820" s="101" t="s">
        <v>3507</v>
      </c>
      <c r="B820" s="425" t="e">
        <v>#N/A</v>
      </c>
    </row>
    <row r="821" spans="1:2" hidden="1">
      <c r="A821" s="101" t="s">
        <v>1040</v>
      </c>
      <c r="B821" s="425" t="e">
        <v>#N/A</v>
      </c>
    </row>
    <row r="822" spans="1:2" hidden="1">
      <c r="A822" s="101" t="s">
        <v>3733</v>
      </c>
      <c r="B822" s="425" t="e">
        <v>#N/A</v>
      </c>
    </row>
    <row r="823" spans="1:2" hidden="1">
      <c r="A823" s="101" t="s">
        <v>608</v>
      </c>
      <c r="B823" s="425" t="e">
        <v>#N/A</v>
      </c>
    </row>
    <row r="824" spans="1:2">
      <c r="A824" s="101" t="s">
        <v>2261</v>
      </c>
      <c r="B824" s="425">
        <v>90</v>
      </c>
    </row>
    <row r="825" spans="1:2" hidden="1">
      <c r="A825" s="101" t="s">
        <v>3024</v>
      </c>
      <c r="B825" s="425" t="e">
        <v>#N/A</v>
      </c>
    </row>
    <row r="826" spans="1:2" hidden="1">
      <c r="A826" s="101" t="s">
        <v>3728</v>
      </c>
      <c r="B826" s="425" t="e">
        <v>#N/A</v>
      </c>
    </row>
    <row r="827" spans="1:2" hidden="1">
      <c r="A827" s="101" t="s">
        <v>1179</v>
      </c>
      <c r="B827" s="425" t="e">
        <v>#N/A</v>
      </c>
    </row>
    <row r="828" spans="1:2" hidden="1">
      <c r="A828" s="101" t="s">
        <v>427</v>
      </c>
      <c r="B828" s="425" t="e">
        <v>#N/A</v>
      </c>
    </row>
    <row r="829" spans="1:2" hidden="1">
      <c r="A829" s="101" t="s">
        <v>3684</v>
      </c>
      <c r="B829" s="425" t="e">
        <v>#N/A</v>
      </c>
    </row>
    <row r="830" spans="1:2" hidden="1">
      <c r="A830" s="101" t="s">
        <v>1264</v>
      </c>
      <c r="B830" s="425" t="e">
        <v>#N/A</v>
      </c>
    </row>
    <row r="831" spans="1:2" hidden="1">
      <c r="A831" s="101" t="s">
        <v>3070</v>
      </c>
      <c r="B831" s="425" t="e">
        <v>#N/A</v>
      </c>
    </row>
    <row r="832" spans="1:2" hidden="1">
      <c r="A832" s="101" t="s">
        <v>3073</v>
      </c>
      <c r="B832" s="425" t="e">
        <v>#N/A</v>
      </c>
    </row>
    <row r="833" spans="1:2" hidden="1">
      <c r="A833" s="101" t="s">
        <v>3786</v>
      </c>
      <c r="B833" s="425" t="e">
        <v>#N/A</v>
      </c>
    </row>
    <row r="834" spans="1:2" hidden="1">
      <c r="A834" s="101" t="s">
        <v>541</v>
      </c>
      <c r="B834" s="425" t="e">
        <v>#N/A</v>
      </c>
    </row>
    <row r="835" spans="1:2" hidden="1">
      <c r="A835" s="101" t="s">
        <v>557</v>
      </c>
      <c r="B835" s="425" t="e">
        <v>#N/A</v>
      </c>
    </row>
    <row r="836" spans="1:2" hidden="1">
      <c r="A836" s="101" t="s">
        <v>3025</v>
      </c>
      <c r="B836" s="425" t="e">
        <v>#N/A</v>
      </c>
    </row>
    <row r="837" spans="1:2" hidden="1">
      <c r="A837" s="101" t="s">
        <v>1228</v>
      </c>
      <c r="B837" s="425" t="e">
        <v>#N/A</v>
      </c>
    </row>
    <row r="838" spans="1:2">
      <c r="A838" s="101" t="s">
        <v>1269</v>
      </c>
      <c r="B838" s="425">
        <v>120</v>
      </c>
    </row>
    <row r="839" spans="1:2">
      <c r="A839" s="101" t="s">
        <v>1002</v>
      </c>
      <c r="B839" s="425">
        <v>90</v>
      </c>
    </row>
    <row r="840" spans="1:2">
      <c r="A840" s="101" t="s">
        <v>3640</v>
      </c>
      <c r="B840" s="425">
        <v>120</v>
      </c>
    </row>
    <row r="841" spans="1:2">
      <c r="A841" s="101" t="s">
        <v>256</v>
      </c>
      <c r="B841" s="425">
        <v>120</v>
      </c>
    </row>
    <row r="842" spans="1:2" hidden="1">
      <c r="A842" s="101" t="s">
        <v>2008</v>
      </c>
      <c r="B842" s="425" t="e">
        <v>#N/A</v>
      </c>
    </row>
    <row r="843" spans="1:2">
      <c r="A843" s="101" t="s">
        <v>971</v>
      </c>
      <c r="B843" s="425">
        <v>256.5</v>
      </c>
    </row>
    <row r="844" spans="1:2">
      <c r="A844" s="101" t="s">
        <v>312</v>
      </c>
      <c r="B844" s="425">
        <v>144</v>
      </c>
    </row>
    <row r="845" spans="1:2">
      <c r="A845" s="101" t="s">
        <v>492</v>
      </c>
      <c r="B845" s="425">
        <v>144</v>
      </c>
    </row>
    <row r="846" spans="1:2">
      <c r="A846" s="101" t="s">
        <v>321</v>
      </c>
      <c r="B846" s="425">
        <v>80</v>
      </c>
    </row>
    <row r="847" spans="1:2" hidden="1">
      <c r="A847" s="101" t="s">
        <v>1725</v>
      </c>
      <c r="B847" s="425" t="e">
        <v>#N/A</v>
      </c>
    </row>
    <row r="848" spans="1:2">
      <c r="A848" s="101" t="s">
        <v>3010</v>
      </c>
      <c r="B848" s="425">
        <v>84</v>
      </c>
    </row>
    <row r="849" spans="1:2">
      <c r="A849" s="101" t="s">
        <v>1204</v>
      </c>
      <c r="B849" s="425">
        <v>0</v>
      </c>
    </row>
    <row r="850" spans="1:2">
      <c r="A850" s="101" t="s">
        <v>3705</v>
      </c>
      <c r="B850" s="425">
        <v>116</v>
      </c>
    </row>
    <row r="851" spans="1:2" hidden="1">
      <c r="A851" s="101" t="s">
        <v>865</v>
      </c>
      <c r="B851" s="425" t="e">
        <v>#N/A</v>
      </c>
    </row>
    <row r="852" spans="1:2">
      <c r="A852" s="101" t="s">
        <v>499</v>
      </c>
      <c r="B852" s="425">
        <v>130.80000000000001</v>
      </c>
    </row>
    <row r="853" spans="1:2">
      <c r="A853" s="101" t="s">
        <v>2989</v>
      </c>
      <c r="B853" s="425">
        <v>108</v>
      </c>
    </row>
    <row r="854" spans="1:2">
      <c r="A854" s="101" t="s">
        <v>3033</v>
      </c>
      <c r="B854" s="425">
        <v>45</v>
      </c>
    </row>
    <row r="855" spans="1:2" hidden="1">
      <c r="A855" s="101" t="s">
        <v>1145</v>
      </c>
      <c r="B855" s="425" t="e">
        <v>#N/A</v>
      </c>
    </row>
    <row r="856" spans="1:2">
      <c r="A856" s="101" t="s">
        <v>1140</v>
      </c>
      <c r="B856" s="425">
        <v>96</v>
      </c>
    </row>
    <row r="857" spans="1:2">
      <c r="A857" s="101" t="s">
        <v>949</v>
      </c>
      <c r="B857" s="425">
        <v>96</v>
      </c>
    </row>
    <row r="858" spans="1:2">
      <c r="A858" s="101" t="s">
        <v>1927</v>
      </c>
      <c r="B858" s="425">
        <v>328</v>
      </c>
    </row>
    <row r="859" spans="1:2" hidden="1">
      <c r="A859" s="101" t="s">
        <v>501</v>
      </c>
      <c r="B859" s="425" t="e">
        <v>#N/A</v>
      </c>
    </row>
    <row r="860" spans="1:2" hidden="1">
      <c r="A860" s="101" t="s">
        <v>149</v>
      </c>
      <c r="B860" s="425" t="e">
        <v>#N/A</v>
      </c>
    </row>
    <row r="861" spans="1:2" hidden="1">
      <c r="A861" s="101" t="s">
        <v>3665</v>
      </c>
      <c r="B861" s="425" t="e">
        <v>#N/A</v>
      </c>
    </row>
    <row r="862" spans="1:2">
      <c r="A862" s="101" t="s">
        <v>3085</v>
      </c>
      <c r="B862" s="425">
        <v>33</v>
      </c>
    </row>
    <row r="863" spans="1:2">
      <c r="A863" s="101" t="s">
        <v>3698</v>
      </c>
      <c r="B863" s="425">
        <v>158.4</v>
      </c>
    </row>
    <row r="864" spans="1:2" hidden="1">
      <c r="A864" s="101" t="s">
        <v>1302</v>
      </c>
      <c r="B864" s="425" t="e">
        <v>#N/A</v>
      </c>
    </row>
    <row r="865" spans="1:2" hidden="1">
      <c r="A865" s="101" t="s">
        <v>909</v>
      </c>
      <c r="B865" s="425" t="e">
        <v>#N/A</v>
      </c>
    </row>
    <row r="866" spans="1:2">
      <c r="A866" s="101" t="s">
        <v>1074</v>
      </c>
      <c r="B866" s="425">
        <v>90</v>
      </c>
    </row>
    <row r="867" spans="1:2">
      <c r="A867" s="101" t="s">
        <v>1120</v>
      </c>
      <c r="B867" s="425">
        <v>54</v>
      </c>
    </row>
    <row r="868" spans="1:2" hidden="1">
      <c r="A868" s="101" t="s">
        <v>3707</v>
      </c>
      <c r="B868" s="425" t="e">
        <v>#N/A</v>
      </c>
    </row>
    <row r="869" spans="1:2">
      <c r="A869" s="101" t="s">
        <v>761</v>
      </c>
      <c r="B869" s="425">
        <v>114</v>
      </c>
    </row>
    <row r="870" spans="1:2">
      <c r="A870" s="101" t="s">
        <v>3508</v>
      </c>
      <c r="B870" s="425">
        <v>114</v>
      </c>
    </row>
    <row r="871" spans="1:2" hidden="1">
      <c r="A871" s="101" t="s">
        <v>2269</v>
      </c>
      <c r="B871" s="425" t="e">
        <v>#N/A</v>
      </c>
    </row>
    <row r="872" spans="1:2">
      <c r="A872" s="101" t="s">
        <v>1071</v>
      </c>
      <c r="B872" s="425">
        <v>110</v>
      </c>
    </row>
    <row r="873" spans="1:2">
      <c r="A873" s="101" t="s">
        <v>3509</v>
      </c>
      <c r="B873" s="425">
        <v>90</v>
      </c>
    </row>
    <row r="874" spans="1:2" hidden="1">
      <c r="A874" s="101" t="s">
        <v>1222</v>
      </c>
      <c r="B874" s="425" t="e">
        <v>#N/A</v>
      </c>
    </row>
    <row r="875" spans="1:2">
      <c r="A875" s="101" t="s">
        <v>3561</v>
      </c>
      <c r="B875" s="425">
        <v>55.8</v>
      </c>
    </row>
    <row r="876" spans="1:2">
      <c r="A876" s="101" t="s">
        <v>245</v>
      </c>
      <c r="B876" s="425">
        <v>117.8</v>
      </c>
    </row>
    <row r="877" spans="1:2">
      <c r="A877" s="101" t="s">
        <v>3012</v>
      </c>
      <c r="B877" s="425">
        <v>118.8</v>
      </c>
    </row>
    <row r="878" spans="1:2">
      <c r="A878" s="101" t="s">
        <v>3699</v>
      </c>
      <c r="B878" s="425">
        <v>270</v>
      </c>
    </row>
    <row r="879" spans="1:2" hidden="1">
      <c r="A879" s="101" t="s">
        <v>3510</v>
      </c>
      <c r="B879" s="425" t="e">
        <v>#N/A</v>
      </c>
    </row>
    <row r="880" spans="1:2" hidden="1">
      <c r="A880" s="101" t="s">
        <v>3685</v>
      </c>
      <c r="B880" s="425" t="e">
        <v>#N/A</v>
      </c>
    </row>
    <row r="881" spans="1:2">
      <c r="A881" s="101" t="s">
        <v>3623</v>
      </c>
      <c r="B881" s="425">
        <v>100</v>
      </c>
    </row>
    <row r="882" spans="1:2" hidden="1">
      <c r="A882" s="101" t="s">
        <v>3562</v>
      </c>
      <c r="B882" s="425" t="e">
        <v>#N/A</v>
      </c>
    </row>
    <row r="883" spans="1:2">
      <c r="A883" s="101" t="s">
        <v>1030</v>
      </c>
      <c r="B883" s="425">
        <v>28</v>
      </c>
    </row>
    <row r="884" spans="1:2" hidden="1">
      <c r="A884" s="101" t="s">
        <v>3727</v>
      </c>
      <c r="B884" s="425" t="e">
        <v>#N/A</v>
      </c>
    </row>
    <row r="885" spans="1:2" hidden="1">
      <c r="A885" s="101" t="s">
        <v>1099</v>
      </c>
      <c r="B885" s="425" t="e">
        <v>#N/A</v>
      </c>
    </row>
    <row r="886" spans="1:2">
      <c r="A886" s="101" t="s">
        <v>3511</v>
      </c>
      <c r="B886" s="425">
        <v>205.2</v>
      </c>
    </row>
    <row r="887" spans="1:2">
      <c r="A887" s="101" t="s">
        <v>674</v>
      </c>
      <c r="B887" s="425">
        <v>205.2</v>
      </c>
    </row>
    <row r="888" spans="1:2" hidden="1">
      <c r="A888" s="101" t="s">
        <v>1154</v>
      </c>
      <c r="B888" s="425" t="e">
        <v>#N/A</v>
      </c>
    </row>
    <row r="889" spans="1:2">
      <c r="A889" s="101" t="s">
        <v>268</v>
      </c>
      <c r="B889" s="425">
        <v>112</v>
      </c>
    </row>
    <row r="890" spans="1:2" hidden="1">
      <c r="A890" s="101" t="s">
        <v>412</v>
      </c>
      <c r="B890" s="425" t="e">
        <v>#N/A</v>
      </c>
    </row>
    <row r="891" spans="1:2" hidden="1">
      <c r="A891" s="101" t="s">
        <v>934</v>
      </c>
      <c r="B891" s="425" t="e">
        <v>#N/A</v>
      </c>
    </row>
    <row r="892" spans="1:2" hidden="1">
      <c r="A892" s="101" t="s">
        <v>3671</v>
      </c>
      <c r="B892" s="425" t="e">
        <v>#N/A</v>
      </c>
    </row>
    <row r="893" spans="1:2">
      <c r="A893" s="101" t="s">
        <v>998</v>
      </c>
      <c r="B893" s="425">
        <v>40.6</v>
      </c>
    </row>
    <row r="894" spans="1:2">
      <c r="A894" s="101" t="s">
        <v>3512</v>
      </c>
      <c r="B894" s="425">
        <v>100</v>
      </c>
    </row>
    <row r="895" spans="1:2">
      <c r="A895" s="101" t="s">
        <v>3793</v>
      </c>
      <c r="B895" s="425">
        <v>34</v>
      </c>
    </row>
    <row r="896" spans="1:2">
      <c r="A896" s="101" t="s">
        <v>3513</v>
      </c>
      <c r="B896" s="425">
        <v>120</v>
      </c>
    </row>
    <row r="897" spans="1:2">
      <c r="A897" s="101" t="s">
        <v>906</v>
      </c>
      <c r="B897" s="425">
        <v>92</v>
      </c>
    </row>
    <row r="898" spans="1:2">
      <c r="A898" s="101" t="s">
        <v>3514</v>
      </c>
      <c r="B898" s="425">
        <v>86.4</v>
      </c>
    </row>
    <row r="899" spans="1:2">
      <c r="A899" s="101" t="s">
        <v>1025</v>
      </c>
      <c r="B899" s="425">
        <v>80</v>
      </c>
    </row>
    <row r="900" spans="1:2">
      <c r="A900" s="101" t="s">
        <v>3017</v>
      </c>
      <c r="B900" s="425">
        <v>220</v>
      </c>
    </row>
    <row r="901" spans="1:2">
      <c r="A901" s="101" t="s">
        <v>711</v>
      </c>
      <c r="B901" s="425">
        <v>220</v>
      </c>
    </row>
    <row r="902" spans="1:2" hidden="1">
      <c r="A902" s="101" t="s">
        <v>3020</v>
      </c>
      <c r="B902" s="425" t="e">
        <v>#N/A</v>
      </c>
    </row>
    <row r="903" spans="1:2" hidden="1">
      <c r="A903" s="101" t="s">
        <v>900</v>
      </c>
      <c r="B903" s="425" t="e">
        <v>#N/A</v>
      </c>
    </row>
    <row r="904" spans="1:2" hidden="1">
      <c r="A904" s="101" t="s">
        <v>3515</v>
      </c>
      <c r="B904" s="425" t="e">
        <v>#N/A</v>
      </c>
    </row>
    <row r="905" spans="1:2" hidden="1">
      <c r="A905" s="101" t="s">
        <v>3516</v>
      </c>
      <c r="B905" s="425" t="e">
        <v>#N/A</v>
      </c>
    </row>
    <row r="906" spans="1:2">
      <c r="A906" s="101" t="s">
        <v>3563</v>
      </c>
      <c r="B906" s="425">
        <v>119</v>
      </c>
    </row>
    <row r="907" spans="1:2">
      <c r="A907" s="101" t="s">
        <v>3517</v>
      </c>
      <c r="B907" s="425">
        <v>119</v>
      </c>
    </row>
    <row r="908" spans="1:2">
      <c r="A908" s="101" t="s">
        <v>3518</v>
      </c>
      <c r="B908" s="425">
        <v>119</v>
      </c>
    </row>
    <row r="909" spans="1:2" hidden="1">
      <c r="A909" s="101" t="s">
        <v>319</v>
      </c>
      <c r="B909" s="425" t="e">
        <v>#N/A</v>
      </c>
    </row>
    <row r="910" spans="1:2" hidden="1">
      <c r="A910" s="101" t="s">
        <v>3564</v>
      </c>
      <c r="B910" s="425" t="e">
        <v>#N/A</v>
      </c>
    </row>
    <row r="911" spans="1:2">
      <c r="A911" s="101" t="s">
        <v>3565</v>
      </c>
      <c r="B911" s="425">
        <v>140</v>
      </c>
    </row>
    <row r="912" spans="1:2">
      <c r="A912" s="101" t="s">
        <v>3519</v>
      </c>
      <c r="B912" s="425">
        <v>140</v>
      </c>
    </row>
    <row r="913" spans="1:2">
      <c r="A913" s="101" t="s">
        <v>965</v>
      </c>
      <c r="B913" s="425">
        <v>77</v>
      </c>
    </row>
    <row r="914" spans="1:2">
      <c r="A914" s="101" t="s">
        <v>3670</v>
      </c>
      <c r="B914" s="425">
        <v>140</v>
      </c>
    </row>
    <row r="915" spans="1:2">
      <c r="A915" s="101" t="s">
        <v>3566</v>
      </c>
      <c r="B915" s="425">
        <v>133</v>
      </c>
    </row>
    <row r="916" spans="1:2" hidden="1">
      <c r="A916" s="101" t="s">
        <v>3520</v>
      </c>
      <c r="B916" s="425" t="e">
        <v>#N/A</v>
      </c>
    </row>
    <row r="917" spans="1:2" hidden="1">
      <c r="A917" s="101" t="s">
        <v>3808</v>
      </c>
      <c r="B917" s="425" t="e">
        <v>#N/A</v>
      </c>
    </row>
    <row r="918" spans="1:2">
      <c r="A918" s="101" t="s">
        <v>3632</v>
      </c>
      <c r="B918" s="425">
        <v>140</v>
      </c>
    </row>
    <row r="919" spans="1:2">
      <c r="A919" s="101" t="s">
        <v>3567</v>
      </c>
      <c r="B919" s="425">
        <v>120</v>
      </c>
    </row>
    <row r="920" spans="1:2">
      <c r="A920" s="101" t="s">
        <v>3693</v>
      </c>
      <c r="B920" s="425">
        <v>42</v>
      </c>
    </row>
    <row r="921" spans="1:2">
      <c r="A921" s="101" t="s">
        <v>3058</v>
      </c>
      <c r="B921" s="425">
        <v>164.7</v>
      </c>
    </row>
    <row r="922" spans="1:2">
      <c r="A922" s="101" t="s">
        <v>3624</v>
      </c>
      <c r="B922" s="425">
        <v>214.6</v>
      </c>
    </row>
    <row r="923" spans="1:2">
      <c r="A923" s="101" t="s">
        <v>948</v>
      </c>
      <c r="B923" s="425">
        <v>80</v>
      </c>
    </row>
    <row r="924" spans="1:2" hidden="1">
      <c r="B924" s="425">
        <v>868.7</v>
      </c>
    </row>
    <row r="925" spans="1:2">
      <c r="A925" s="424" t="s">
        <v>3827</v>
      </c>
      <c r="B925" s="425">
        <v>532.79999999999995</v>
      </c>
    </row>
    <row r="926" spans="1:2">
      <c r="B926" s="425">
        <f>SUBTOTAL(9,B3:B925)</f>
        <v>102761.90999999989</v>
      </c>
    </row>
  </sheetData>
  <autoFilter ref="A1:B924">
    <filterColumn colId="1">
      <filters blank="1">
        <filter val="R$ -"/>
        <filter val="R$ 10,20"/>
        <filter val="R$ 100,00"/>
        <filter val="R$ 102,20"/>
        <filter val="R$ 103,60"/>
        <filter val="R$ 104,00"/>
        <filter val="R$ 105,00"/>
        <filter val="R$ 107,10"/>
        <filter val="R$ 107,80"/>
        <filter val="R$ 108,00"/>
        <filter val="R$ 109,50"/>
        <filter val="R$ 11,10"/>
        <filter val="R$ 110,00"/>
        <filter val="R$ 111,00"/>
        <filter val="R$ 111,60"/>
        <filter val="R$ 112,00"/>
        <filter val="R$ 114,00"/>
        <filter val="R$ 114,10"/>
        <filter val="R$ 116,00"/>
        <filter val="R$ 116,55"/>
        <filter val="R$ 117,10"/>
        <filter val="R$ 117,80"/>
        <filter val="R$ 118,40"/>
        <filter val="R$ 118,80"/>
        <filter val="R$ 119,00"/>
        <filter val="R$ 120,00"/>
        <filter val="R$ 120,72"/>
        <filter val="R$ 121,00"/>
        <filter val="R$ 122,10"/>
        <filter val="R$ 123,20"/>
        <filter val="R$ 125,80"/>
        <filter val="R$ 126,00"/>
        <filter val="R$ 126,40"/>
        <filter val="R$ 127,80"/>
        <filter val="R$ 129,60"/>
        <filter val="R$ 130,78"/>
        <filter val="R$ 130,80"/>
        <filter val="R$ 131,20"/>
        <filter val="R$ 132,00"/>
        <filter val="R$ 133,00"/>
        <filter val="R$ 133,20"/>
        <filter val="R$ 133,50"/>
        <filter val="R$ 135,05"/>
        <filter val="R$ 135,90"/>
        <filter val="R$ 136,80"/>
        <filter val="R$ 140,00"/>
        <filter val="R$ 140,60"/>
        <filter val="R$ 140,84"/>
        <filter val="R$ 144,00"/>
        <filter val="R$ 144,30"/>
        <filter val="R$ 145,30"/>
        <filter val="R$ 146,40"/>
        <filter val="R$ 146,70"/>
        <filter val="R$ 147,60"/>
        <filter val="R$ 148,00"/>
        <filter val="R$ 150,90"/>
        <filter val="R$ 151,20"/>
        <filter val="R$ 151,40"/>
        <filter val="R$ 152,00"/>
        <filter val="R$ 153,00"/>
        <filter val="R$ 154,70"/>
        <filter val="R$ 155,40"/>
        <filter val="R$ 156,00"/>
        <filter val="R$ 158,40"/>
        <filter val="R$ 158,60"/>
        <filter val="R$ 158,80"/>
        <filter val="R$ 16,30"/>
        <filter val="R$ 160,20"/>
        <filter val="R$ 160,96"/>
        <filter val="R$ 162,80"/>
        <filter val="R$ 164,70"/>
        <filter val="R$ 165,00"/>
        <filter val="R$ 165,10"/>
        <filter val="R$ 165,60"/>
        <filter val="R$ 166,50"/>
        <filter val="R$ 169,10"/>
        <filter val="R$ 170,40"/>
        <filter val="R$ 171,00"/>
        <filter val="R$ 171,02"/>
        <filter val="R$ 174,60"/>
        <filter val="R$ 176,20"/>
        <filter val="R$ 177,40"/>
        <filter val="R$ 177,60"/>
        <filter val="R$ 178,00"/>
        <filter val="R$ 18,40"/>
        <filter val="R$ 181,08"/>
        <filter val="R$ 182,40"/>
        <filter val="R$ 182,70"/>
        <filter val="R$ 183,00"/>
        <filter val="R$ 183,60"/>
        <filter val="R$ 183,80"/>
        <filter val="R$ 184,60"/>
        <filter val="R$ 188,00"/>
        <filter val="R$ 188,70"/>
        <filter val="R$ 190,50"/>
        <filter val="R$ 192,00"/>
        <filter val="R$ 192,40"/>
        <filter val="R$ 194,25"/>
        <filter val="R$ 195,00"/>
        <filter val="R$ 195,60"/>
        <filter val="R$ 198,00"/>
        <filter val="R$ 199,20"/>
        <filter val="R$ 199,80"/>
        <filter val="R$ 20,80"/>
        <filter val="R$ 200,00"/>
        <filter val="R$ 201,20"/>
        <filter val="R$ 201,60"/>
        <filter val="R$ 202,20"/>
        <filter val="R$ 202,40"/>
        <filter val="R$ 203,50"/>
        <filter val="R$ 204,00"/>
        <filter val="R$ 205,10"/>
        <filter val="R$ 205,20"/>
        <filter val="R$ 207,20"/>
        <filter val="R$ 209,00"/>
        <filter val="R$ 210,20"/>
        <filter val="R$ 210,90"/>
        <filter val="R$ 214,60"/>
        <filter val="R$ 218,30"/>
        <filter val="R$ 22,20"/>
        <filter val="R$ 220,00"/>
        <filter val="R$ 221,40"/>
        <filter val="R$ 222,00"/>
        <filter val="R$ 222,40"/>
        <filter val="R$ 223,80"/>
        <filter val="R$ 225,10"/>
        <filter val="R$ 228,60"/>
        <filter val="R$ 229,40"/>
        <filter val="R$ 23,10"/>
        <filter val="R$ 23,20"/>
        <filter val="R$ 230,00"/>
        <filter val="R$ 232,00"/>
        <filter val="R$ 232,20"/>
        <filter val="R$ 234,00"/>
        <filter val="R$ 236,80"/>
        <filter val="R$ 238,20"/>
        <filter val="R$ 239,40"/>
        <filter val="R$ 240,00"/>
        <filter val="R$ 240,50"/>
        <filter val="R$ 243,60"/>
        <filter val="R$ 244,20"/>
        <filter val="R$ 246,40"/>
        <filter val="R$ 246,60"/>
        <filter val="R$ 246,70"/>
        <filter val="R$ 247,20"/>
        <filter val="R$ 247,90"/>
        <filter val="R$ 250,00"/>
        <filter val="R$ 250,60"/>
        <filter val="R$ 251,50"/>
        <filter val="R$ 254,00"/>
        <filter val="R$ 255,60"/>
        <filter val="R$ 256,40"/>
        <filter val="R$ 256,50"/>
        <filter val="R$ 257,80"/>
        <filter val="R$ 259,00"/>
        <filter val="R$ 262,40"/>
        <filter val="R$ 262,80"/>
        <filter val="R$ 266,40"/>
        <filter val="R$ 268,50"/>
        <filter val="R$ 268,80"/>
        <filter val="R$ 270,00"/>
        <filter val="R$ 271,20"/>
        <filter val="R$ 271,50"/>
        <filter val="R$ 273,00"/>
        <filter val="R$ 275,10"/>
        <filter val="R$ 275,60"/>
        <filter val="R$ 277,00"/>
        <filter val="R$ 277,50"/>
        <filter val="R$ 278,00"/>
        <filter val="R$ 278,60"/>
        <filter val="R$ 279,80"/>
        <filter val="R$ 28,00"/>
        <filter val="R$ 280,80"/>
        <filter val="R$ 281,20"/>
        <filter val="R$ 284,40"/>
        <filter val="R$ 284,50"/>
        <filter val="R$ 284,90"/>
        <filter val="R$ 286,90"/>
        <filter val="R$ 288,40"/>
        <filter val="R$ 288,60"/>
        <filter val="R$ 289,00"/>
        <filter val="R$ 289,80"/>
        <filter val="R$ 29,60"/>
        <filter val="R$ 293,40"/>
        <filter val="R$ 294,60"/>
        <filter val="R$ 295,00"/>
        <filter val="R$ 295,20"/>
        <filter val="R$ 296,00"/>
        <filter val="R$ 296,40"/>
        <filter val="R$ 299,70"/>
        <filter val="R$ 301,20"/>
        <filter val="R$ 302,00"/>
        <filter val="R$ 302,40"/>
        <filter val="R$ 303,40"/>
        <filter val="R$ 305,60"/>
        <filter val="R$ 306,60"/>
        <filter val="R$ 308,60"/>
        <filter val="R$ 312,00"/>
        <filter val="R$ 316,80"/>
        <filter val="R$ 318,20"/>
        <filter val="R$ 321,90"/>
        <filter val="R$ 325,20"/>
        <filter val="R$ 325,60"/>
        <filter val="R$ 326,00"/>
        <filter val="R$ 328,00"/>
        <filter val="R$ 33,00"/>
        <filter val="R$ 33,30"/>
        <filter val="R$ 333,00"/>
        <filter val="R$ 337,00"/>
        <filter val="R$ 337,50"/>
        <filter val="R$ 338,10"/>
        <filter val="R$ 338,40"/>
        <filter val="R$ 34,00"/>
        <filter val="R$ 340,20"/>
        <filter val="R$ 342,20"/>
        <filter val="R$ 35,60"/>
        <filter val="R$ 352,00"/>
        <filter val="R$ 353,00"/>
        <filter val="R$ 36,00"/>
        <filter val="R$ 361,20"/>
        <filter val="R$ 370,00"/>
        <filter val="R$ 377,30"/>
        <filter val="R$ 384,50"/>
        <filter val="R$ 388,80"/>
        <filter val="R$ 40,60"/>
        <filter val="R$ 400,00"/>
        <filter val="R$ 406,00"/>
        <filter val="R$ 408,00"/>
        <filter val="R$ 412,00"/>
        <filter val="R$ 42,00"/>
        <filter val="R$ 426,60"/>
        <filter val="R$ 428,40"/>
        <filter val="R$ 44,40"/>
        <filter val="R$ 45,00"/>
        <filter val="R$ 46,00"/>
        <filter val="R$ 462,60"/>
        <filter val="R$ 487,80"/>
        <filter val="R$ 51,00"/>
        <filter val="R$ 51,80"/>
        <filter val="R$ 512,00"/>
        <filter val="R$ 54,00"/>
        <filter val="R$ 55,80"/>
        <filter val="R$ 57,00"/>
        <filter val="R$ 59,20"/>
        <filter val="R$ 59,40"/>
        <filter val="R$ 61,60"/>
        <filter val="R$ 62,30"/>
        <filter val="R$ 65,20"/>
        <filter val="R$ 66,00"/>
        <filter val="R$ 66,60"/>
        <filter val="R$ 70,00"/>
        <filter val="R$ 71,20"/>
        <filter val="R$ 71,40"/>
        <filter val="R$ 72,00"/>
        <filter val="R$ 74,00"/>
        <filter val="R$ 75,20"/>
        <filter val="R$ 76,00"/>
        <filter val="R$ 77,00"/>
        <filter val="R$ 77,70"/>
        <filter val="R$ 79,50"/>
        <filter val="R$ 79,80"/>
        <filter val="R$ 8,90"/>
        <filter val="R$ 80,00"/>
        <filter val="R$ 81,40"/>
        <filter val="R$ 81,60"/>
        <filter val="R$ 81,90"/>
        <filter val="R$ 82,80"/>
        <filter val="R$ 83,20"/>
        <filter val="R$ 84,00"/>
        <filter val="R$ 85,50"/>
        <filter val="R$ 86,40"/>
        <filter val="R$ 87,40"/>
        <filter val="R$ 88,00"/>
        <filter val="R$ 88,80"/>
        <filter val="R$ 90,00"/>
        <filter val="R$ 90,54"/>
        <filter val="R$ 92,00"/>
        <filter val="R$ 93,00"/>
        <filter val="R$ 93,40"/>
        <filter val="R$ 94,80"/>
        <filter val="R$ 96,00"/>
        <filter val="R$ 96,20"/>
        <filter val="R$ 96,30"/>
        <filter val="R$ 99,90"/>
      </filters>
    </filterColumn>
  </autoFilter>
  <mergeCells count="2">
    <mergeCell ref="A1:A2"/>
    <mergeCell ref="B1:B2"/>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7">
    <tabColor rgb="FF92D050"/>
  </sheetPr>
  <dimension ref="A1:CB157"/>
  <sheetViews>
    <sheetView showGridLines="0" tabSelected="1" zoomScaleNormal="100" zoomScaleSheetLayoutView="90" workbookViewId="0">
      <selection activeCell="H22" sqref="H22"/>
    </sheetView>
  </sheetViews>
  <sheetFormatPr defaultRowHeight="12"/>
  <cols>
    <col min="1" max="1" width="6.140625" style="43" customWidth="1"/>
    <col min="2" max="2" width="10" style="43" customWidth="1"/>
    <col min="3" max="3" width="20.140625" style="43" customWidth="1"/>
    <col min="4" max="4" width="11.7109375" style="44" customWidth="1"/>
    <col min="5" max="5" width="14.140625" style="44" customWidth="1"/>
    <col min="6" max="6" width="7.42578125" style="45" customWidth="1"/>
    <col min="7" max="7" width="9.28515625" style="45" customWidth="1"/>
    <col min="8" max="8" width="15.140625" style="43" customWidth="1"/>
    <col min="9" max="9" width="33.140625" style="43" customWidth="1"/>
    <col min="10" max="10" width="10.42578125" style="43" customWidth="1"/>
    <col min="11" max="11" width="48.28515625" style="43" customWidth="1"/>
    <col min="12" max="12" width="16.85546875" style="45" customWidth="1"/>
    <col min="13" max="13" width="12.28515625" style="45" customWidth="1"/>
    <col min="14" max="14" width="20.140625" style="43" customWidth="1"/>
    <col min="15" max="15" width="13.42578125" style="43" customWidth="1"/>
    <col min="16" max="16" width="11.28515625" style="43" customWidth="1"/>
    <col min="17" max="17" width="12.85546875" style="43" customWidth="1"/>
    <col min="18" max="24" width="10.5703125" style="43" customWidth="1"/>
    <col min="25" max="25" width="13.28515625" style="43" customWidth="1"/>
    <col min="26" max="26" width="11" style="43" customWidth="1"/>
    <col min="27" max="27" width="12.85546875" style="46" customWidth="1"/>
    <col min="28" max="28" width="21" style="46" customWidth="1"/>
    <col min="29" max="29" width="15.5703125" style="43" customWidth="1"/>
    <col min="30" max="30" width="19.5703125" style="43" customWidth="1"/>
    <col min="31" max="31" width="19.7109375" style="43" customWidth="1"/>
    <col min="32" max="32" width="11.5703125" style="43" customWidth="1"/>
    <col min="33" max="33" width="12.85546875" style="43" customWidth="1"/>
    <col min="34" max="34" width="11.7109375" style="43" customWidth="1"/>
    <col min="35" max="35" width="10.42578125" style="43" customWidth="1"/>
    <col min="36" max="36" width="11.42578125" style="43" customWidth="1"/>
    <col min="37" max="37" width="10.5703125" style="43" customWidth="1"/>
    <col min="38" max="38" width="8.85546875" style="43" customWidth="1"/>
    <col min="39" max="39" width="9.140625" style="43" customWidth="1"/>
    <col min="40" max="40" width="10.7109375" style="43" customWidth="1"/>
    <col min="41" max="41" width="14.85546875" style="43" customWidth="1"/>
    <col min="42" max="42" width="11.85546875" style="43" customWidth="1"/>
    <col min="43" max="43" width="14.7109375" style="43" customWidth="1"/>
    <col min="44" max="44" width="13.7109375" style="43" customWidth="1"/>
    <col min="45" max="45" width="13.140625" style="43" customWidth="1"/>
    <col min="46" max="46" width="11.85546875" style="43" customWidth="1"/>
    <col min="47" max="47" width="17.28515625" style="43" customWidth="1"/>
    <col min="48" max="48" width="18.140625" style="43" customWidth="1"/>
    <col min="49" max="49" width="15.140625" style="43" customWidth="1"/>
    <col min="50" max="50" width="14" style="43" customWidth="1"/>
    <col min="51" max="51" width="16.42578125" style="43" customWidth="1"/>
    <col min="52" max="53" width="18.5703125" style="43" customWidth="1"/>
    <col min="54" max="54" width="15.85546875" style="43" customWidth="1"/>
    <col min="55" max="56" width="18.5703125" style="43" customWidth="1"/>
    <col min="57" max="57" width="16.42578125" style="43" customWidth="1"/>
    <col min="58" max="59" width="18.28515625" style="43" customWidth="1"/>
    <col min="60" max="60" width="17.140625" style="43" customWidth="1"/>
    <col min="61" max="61" width="13.7109375" style="43" customWidth="1"/>
    <col min="62" max="62" width="17.85546875" style="43" customWidth="1"/>
    <col min="63" max="63" width="17.7109375" style="43" customWidth="1"/>
    <col min="64" max="64" width="20.28515625" style="43" customWidth="1"/>
    <col min="65" max="65" width="23.7109375" style="43" customWidth="1"/>
    <col min="66" max="66" width="13.85546875" style="43" customWidth="1"/>
    <col min="67" max="67" width="20.5703125" style="43" customWidth="1"/>
    <col min="68" max="68" width="15" style="43" customWidth="1"/>
    <col min="69" max="69" width="27.42578125" style="43" customWidth="1"/>
    <col min="70" max="70" width="20" style="43" customWidth="1"/>
    <col min="71" max="71" width="21.85546875" style="43" customWidth="1"/>
    <col min="72" max="72" width="13" style="43" customWidth="1"/>
    <col min="73" max="73" width="15.5703125" style="43" customWidth="1"/>
    <col min="74" max="74" width="13.5703125" style="43" customWidth="1"/>
    <col min="75" max="75" width="15.42578125" style="43" customWidth="1"/>
    <col min="76" max="76" width="15" style="43" customWidth="1"/>
    <col min="77" max="77" width="16.7109375" style="43" customWidth="1"/>
    <col min="78" max="78" width="15.42578125" style="43" customWidth="1"/>
    <col min="79" max="79" width="13.42578125" style="43" customWidth="1"/>
    <col min="80" max="80" width="60.7109375" style="48" customWidth="1"/>
    <col min="81" max="81" width="51.85546875" style="43" customWidth="1"/>
    <col min="82" max="86" width="9.140625" style="43" customWidth="1"/>
    <col min="87" max="16384" width="9.140625" style="43"/>
  </cols>
  <sheetData>
    <row r="1" spans="1:80" ht="16.5" customHeight="1">
      <c r="C1" s="127" t="s">
        <v>3160</v>
      </c>
      <c r="D1" s="128"/>
      <c r="E1" s="373"/>
      <c r="F1" s="129"/>
      <c r="G1" s="109"/>
      <c r="H1" s="110"/>
      <c r="I1" s="110"/>
      <c r="J1" s="110"/>
      <c r="K1" s="110"/>
      <c r="L1" s="110"/>
      <c r="M1" s="110"/>
      <c r="N1" s="684"/>
      <c r="O1" s="684"/>
      <c r="P1" s="684"/>
      <c r="Q1" s="684"/>
      <c r="R1" s="684"/>
      <c r="S1" s="684"/>
      <c r="T1" s="684"/>
      <c r="U1" s="684"/>
      <c r="V1" s="684"/>
      <c r="AA1" s="43"/>
      <c r="AB1" s="43"/>
      <c r="AF1" s="46"/>
      <c r="CB1" s="43"/>
    </row>
    <row r="2" spans="1:80" ht="23.25" customHeight="1" thickBot="1">
      <c r="C2" s="688" t="s">
        <v>3161</v>
      </c>
      <c r="D2" s="688"/>
      <c r="E2" s="688"/>
      <c r="F2" s="688"/>
      <c r="G2" s="111"/>
      <c r="H2" s="112"/>
      <c r="I2" s="113"/>
      <c r="J2" s="113"/>
      <c r="K2" s="113"/>
      <c r="L2" s="113"/>
      <c r="M2" s="113"/>
      <c r="N2" s="684"/>
      <c r="O2" s="684"/>
      <c r="P2" s="684"/>
      <c r="Q2" s="684"/>
      <c r="R2" s="684"/>
      <c r="S2" s="684"/>
      <c r="T2" s="684"/>
      <c r="U2" s="684"/>
      <c r="V2" s="684"/>
      <c r="AA2" s="43"/>
      <c r="AB2" s="43"/>
      <c r="AF2" s="46"/>
      <c r="CB2" s="43"/>
    </row>
    <row r="3" spans="1:80" ht="12.75" thickBot="1">
      <c r="C3" s="114" t="s">
        <v>3162</v>
      </c>
      <c r="D3" s="689" t="s">
        <v>3831</v>
      </c>
      <c r="E3" s="690"/>
      <c r="F3" s="691"/>
      <c r="G3" s="115"/>
      <c r="H3" s="115"/>
      <c r="I3" s="115"/>
      <c r="J3" s="115"/>
      <c r="K3" s="115"/>
      <c r="L3" s="134"/>
      <c r="M3" s="357"/>
      <c r="N3" s="684"/>
      <c r="O3" s="684"/>
      <c r="P3" s="684"/>
      <c r="Q3" s="684"/>
      <c r="R3" s="684"/>
      <c r="S3" s="684"/>
      <c r="T3" s="684"/>
      <c r="U3" s="684"/>
      <c r="V3" s="684"/>
      <c r="AA3" s="43"/>
      <c r="AB3" s="43"/>
      <c r="AF3" s="46"/>
      <c r="CB3" s="43"/>
    </row>
    <row r="4" spans="1:80" ht="13.5" thickBot="1">
      <c r="C4" s="116" t="s">
        <v>3164</v>
      </c>
      <c r="D4" s="689" t="s">
        <v>3881</v>
      </c>
      <c r="E4" s="690"/>
      <c r="F4" s="691"/>
      <c r="G4" s="117"/>
      <c r="H4" s="118"/>
      <c r="I4" s="118"/>
      <c r="J4" s="118"/>
      <c r="K4" s="119"/>
      <c r="L4" s="135"/>
      <c r="M4" s="358"/>
      <c r="N4" s="684"/>
      <c r="O4" s="684"/>
      <c r="P4" s="684"/>
      <c r="Q4" s="684"/>
      <c r="R4" s="684"/>
      <c r="S4" s="684"/>
      <c r="T4" s="684"/>
      <c r="U4" s="684"/>
      <c r="V4" s="684"/>
      <c r="AA4" s="43"/>
      <c r="AB4"/>
      <c r="AC4" s="215"/>
      <c r="AF4" s="46"/>
      <c r="BH4" s="47"/>
      <c r="BY4" s="47"/>
      <c r="CB4" s="43"/>
    </row>
    <row r="5" spans="1:80" s="107" customFormat="1" ht="13.5" customHeight="1" thickBot="1">
      <c r="C5" s="131" t="s">
        <v>3165</v>
      </c>
      <c r="D5" s="699" t="s">
        <v>3874</v>
      </c>
      <c r="E5" s="700"/>
      <c r="F5" s="701"/>
      <c r="G5" s="132" t="s">
        <v>3166</v>
      </c>
      <c r="H5" s="133">
        <v>42614</v>
      </c>
      <c r="I5" s="679" t="s">
        <v>3167</v>
      </c>
      <c r="J5" s="680"/>
      <c r="K5" s="133">
        <v>42643</v>
      </c>
      <c r="L5" s="282" t="s">
        <v>3203</v>
      </c>
      <c r="M5" s="282">
        <f>IF(AND(MONTH($K5)=2,DAY($H5)=1,DAY($K5)=28),$K5-$H5+3,IF(AND(MONTH($H5)=2,DAY($H5)=1,DAY($K5)=29),$K5-$H5+2,IF(DAY($K5)=31,$K5-$H5,IF(DAY($K5)=30,$K5-$H5+1,IF(DAY($K5)&lt;30,$K5-$H5+1,30)))))</f>
        <v>30</v>
      </c>
      <c r="N5" s="684"/>
      <c r="O5" s="684"/>
      <c r="P5" s="684"/>
      <c r="Q5" s="684"/>
      <c r="R5" s="684"/>
      <c r="S5" s="684"/>
      <c r="T5" s="684"/>
      <c r="U5" s="684"/>
      <c r="V5" s="684"/>
      <c r="AF5" s="104"/>
    </row>
    <row r="6" spans="1:80" s="105" customFormat="1" ht="12" customHeight="1" thickBot="1">
      <c r="C6" s="120"/>
      <c r="D6" s="121"/>
      <c r="E6" s="121"/>
      <c r="F6" s="121"/>
      <c r="G6" s="122"/>
      <c r="H6" s="123"/>
      <c r="I6" s="122"/>
      <c r="J6" s="122"/>
      <c r="K6" s="123"/>
      <c r="L6" s="123"/>
      <c r="M6" s="123"/>
      <c r="N6" s="123"/>
      <c r="O6" s="123"/>
      <c r="P6" s="123"/>
      <c r="Q6" s="124"/>
      <c r="R6" s="125"/>
      <c r="S6" s="124"/>
      <c r="AF6" s="106"/>
    </row>
    <row r="7" spans="1:80" s="108" customFormat="1" ht="15" customHeight="1" thickBot="1">
      <c r="A7" s="692" t="s">
        <v>3533</v>
      </c>
      <c r="B7" s="692" t="s">
        <v>3140</v>
      </c>
      <c r="C7" s="692" t="s">
        <v>2070</v>
      </c>
      <c r="D7" s="682" t="s">
        <v>2071</v>
      </c>
      <c r="E7" s="682" t="s">
        <v>2069</v>
      </c>
      <c r="F7" s="692" t="s">
        <v>2246</v>
      </c>
      <c r="G7" s="692" t="s">
        <v>45</v>
      </c>
      <c r="H7" s="692" t="s">
        <v>1171</v>
      </c>
      <c r="I7" s="692" t="s">
        <v>1</v>
      </c>
      <c r="J7" s="692" t="s">
        <v>3410</v>
      </c>
      <c r="K7" s="692" t="s">
        <v>3435</v>
      </c>
      <c r="L7" s="697" t="s">
        <v>3206</v>
      </c>
      <c r="M7" s="695" t="s">
        <v>3207</v>
      </c>
      <c r="N7" s="694" t="s">
        <v>3208</v>
      </c>
      <c r="O7" s="694"/>
      <c r="P7" s="694"/>
      <c r="Q7" s="687" t="s">
        <v>3149</v>
      </c>
      <c r="R7" s="687"/>
      <c r="S7" s="687"/>
      <c r="T7" s="687"/>
      <c r="U7" s="687"/>
      <c r="V7" s="687"/>
      <c r="W7" s="687"/>
      <c r="X7" s="687"/>
      <c r="Y7" s="687"/>
      <c r="Z7" s="687"/>
      <c r="AA7" s="687"/>
      <c r="AB7" s="687"/>
      <c r="AC7" s="687"/>
      <c r="AD7" s="687"/>
      <c r="AE7" s="334"/>
      <c r="AF7" s="677" t="s">
        <v>3157</v>
      </c>
      <c r="AG7" s="677"/>
      <c r="AH7" s="677"/>
      <c r="AI7" s="677"/>
      <c r="AJ7" s="677"/>
      <c r="AK7" s="677"/>
      <c r="AL7" s="677"/>
      <c r="AM7" s="677"/>
      <c r="AN7" s="677"/>
      <c r="AO7" s="677"/>
      <c r="AP7" s="686" t="s">
        <v>3158</v>
      </c>
      <c r="AQ7" s="686"/>
      <c r="AR7" s="686"/>
      <c r="AS7" s="686"/>
      <c r="AT7" s="686"/>
      <c r="AU7" s="676" t="s">
        <v>3176</v>
      </c>
      <c r="AV7" s="676"/>
      <c r="AW7" s="676"/>
      <c r="AX7" s="676"/>
      <c r="AY7" s="676"/>
      <c r="AZ7" s="676"/>
      <c r="BA7" s="676"/>
      <c r="BB7" s="676"/>
      <c r="BC7" s="676"/>
      <c r="BD7" s="676"/>
      <c r="BE7" s="676"/>
      <c r="BF7" s="676"/>
      <c r="BG7" s="676"/>
      <c r="BH7" s="676"/>
      <c r="BI7" s="676"/>
      <c r="BJ7" s="676"/>
      <c r="BK7" s="672" t="s">
        <v>3192</v>
      </c>
      <c r="BL7" s="672"/>
      <c r="BM7" s="672"/>
      <c r="BN7" s="672"/>
      <c r="BO7" s="672"/>
      <c r="BP7" s="672"/>
      <c r="BQ7" s="672"/>
      <c r="BR7" s="674" t="s">
        <v>3196</v>
      </c>
      <c r="BS7" s="668" t="s">
        <v>3197</v>
      </c>
      <c r="BT7" s="668"/>
      <c r="BU7" s="668"/>
      <c r="BV7" s="668"/>
      <c r="BW7" s="668"/>
      <c r="BX7" s="668"/>
      <c r="BY7" s="667" t="s">
        <v>3202</v>
      </c>
      <c r="BZ7" s="667"/>
      <c r="CA7" s="667"/>
      <c r="CB7" s="429" t="s">
        <v>2202</v>
      </c>
    </row>
    <row r="8" spans="1:80" s="108" customFormat="1" ht="27.75" customHeight="1" thickBot="1">
      <c r="A8" s="693"/>
      <c r="B8" s="693"/>
      <c r="C8" s="693"/>
      <c r="D8" s="683"/>
      <c r="E8" s="683"/>
      <c r="F8" s="693"/>
      <c r="G8" s="693"/>
      <c r="H8" s="693"/>
      <c r="I8" s="693"/>
      <c r="J8" s="693"/>
      <c r="K8" s="693"/>
      <c r="L8" s="698"/>
      <c r="M8" s="696"/>
      <c r="N8" s="694"/>
      <c r="O8" s="694"/>
      <c r="P8" s="694"/>
      <c r="Q8" s="685" t="s">
        <v>3213</v>
      </c>
      <c r="R8" s="685"/>
      <c r="S8" s="685"/>
      <c r="T8" s="685"/>
      <c r="U8" s="685"/>
      <c r="V8" s="685"/>
      <c r="W8" s="685"/>
      <c r="X8" s="685"/>
      <c r="Y8" s="685"/>
      <c r="Z8" s="335"/>
      <c r="AA8" s="335"/>
      <c r="AB8" s="335"/>
      <c r="AC8" s="335"/>
      <c r="AD8" s="335"/>
      <c r="AE8" s="335"/>
      <c r="AF8" s="677" t="s">
        <v>3150</v>
      </c>
      <c r="AG8" s="677" t="s">
        <v>3303</v>
      </c>
      <c r="AH8" s="677" t="s">
        <v>3151</v>
      </c>
      <c r="AI8" s="677" t="s">
        <v>3152</v>
      </c>
      <c r="AJ8" s="677" t="s">
        <v>3153</v>
      </c>
      <c r="AK8" s="677" t="s">
        <v>3154</v>
      </c>
      <c r="AL8" s="677" t="s">
        <v>3155</v>
      </c>
      <c r="AM8" s="677" t="s">
        <v>3156</v>
      </c>
      <c r="AN8" s="677" t="s">
        <v>3424</v>
      </c>
      <c r="AO8" s="677" t="s">
        <v>3426</v>
      </c>
      <c r="AP8" s="686"/>
      <c r="AQ8" s="686"/>
      <c r="AR8" s="686"/>
      <c r="AS8" s="686"/>
      <c r="AT8" s="686"/>
      <c r="AU8" s="130" t="s">
        <v>3168</v>
      </c>
      <c r="AV8" s="130" t="s">
        <v>3169</v>
      </c>
      <c r="AW8" s="676" t="s">
        <v>3170</v>
      </c>
      <c r="AX8" s="676"/>
      <c r="AY8" s="676"/>
      <c r="AZ8" s="676"/>
      <c r="BA8" s="676"/>
      <c r="BB8" s="676"/>
      <c r="BC8" s="676"/>
      <c r="BD8" s="676" t="s">
        <v>3180</v>
      </c>
      <c r="BE8" s="676"/>
      <c r="BF8" s="676"/>
      <c r="BG8" s="676"/>
      <c r="BH8" s="676"/>
      <c r="BI8" s="676"/>
      <c r="BJ8" s="676" t="s">
        <v>3186</v>
      </c>
      <c r="BK8" s="672" t="s">
        <v>3193</v>
      </c>
      <c r="BL8" s="672" t="s">
        <v>3194</v>
      </c>
      <c r="BM8" s="672" t="s">
        <v>3215</v>
      </c>
      <c r="BN8" s="672"/>
      <c r="BO8" s="672" t="s">
        <v>3195</v>
      </c>
      <c r="BP8" s="672" t="str">
        <f>CONCATENATE("TOTAL REPACUTADO CV EM ",D5)</f>
        <v>TOTAL REPACUTADO CV EM SETEMBRO.16</v>
      </c>
      <c r="BQ8" s="672" t="str">
        <f>CONCATENATE("TOTAL RETENÇÃO CONTA VINCULADA EM ",D5)</f>
        <v>TOTAL RETENÇÃO CONTA VINCULADA EM SETEMBRO.16</v>
      </c>
      <c r="BR8" s="674"/>
      <c r="BS8" s="670" t="s">
        <v>3198</v>
      </c>
      <c r="BT8" s="670" t="s">
        <v>3200</v>
      </c>
      <c r="BU8" s="668" t="s">
        <v>3403</v>
      </c>
      <c r="BV8" s="668" t="s">
        <v>3404</v>
      </c>
      <c r="BW8" s="668" t="s">
        <v>3199</v>
      </c>
      <c r="BX8" s="336"/>
      <c r="BY8" s="667"/>
      <c r="BZ8" s="667"/>
      <c r="CA8" s="667"/>
      <c r="CB8" s="429"/>
    </row>
    <row r="9" spans="1:80" s="108" customFormat="1" ht="50.25" customHeight="1" thickBot="1">
      <c r="A9" s="693"/>
      <c r="B9" s="693"/>
      <c r="C9" s="693"/>
      <c r="D9" s="683"/>
      <c r="E9" s="683"/>
      <c r="F9" s="693"/>
      <c r="G9" s="693"/>
      <c r="H9" s="693"/>
      <c r="I9" s="693"/>
      <c r="J9" s="693"/>
      <c r="K9" s="693"/>
      <c r="L9" s="698"/>
      <c r="M9" s="696"/>
      <c r="N9" s="372" t="s">
        <v>3211</v>
      </c>
      <c r="O9" s="372" t="s">
        <v>3209</v>
      </c>
      <c r="P9" s="372" t="s">
        <v>3210</v>
      </c>
      <c r="Q9" s="374" t="s">
        <v>3212</v>
      </c>
      <c r="R9" s="374" t="s">
        <v>3142</v>
      </c>
      <c r="S9" s="374" t="s">
        <v>3141</v>
      </c>
      <c r="T9" s="374" t="s">
        <v>3143</v>
      </c>
      <c r="U9" s="374" t="s">
        <v>3144</v>
      </c>
      <c r="V9" s="374" t="s">
        <v>3145</v>
      </c>
      <c r="W9" s="374" t="s">
        <v>3146</v>
      </c>
      <c r="X9" s="374" t="s">
        <v>3147</v>
      </c>
      <c r="Y9" s="374" t="s">
        <v>3148</v>
      </c>
      <c r="Z9" s="375" t="s">
        <v>3642</v>
      </c>
      <c r="AA9" s="375" t="s">
        <v>3204</v>
      </c>
      <c r="AB9" s="376" t="s">
        <v>3205</v>
      </c>
      <c r="AC9" s="377" t="s">
        <v>3214</v>
      </c>
      <c r="AD9" s="378" t="s">
        <v>3216</v>
      </c>
      <c r="AE9" s="378" t="s">
        <v>3633</v>
      </c>
      <c r="AF9" s="678"/>
      <c r="AG9" s="678"/>
      <c r="AH9" s="678"/>
      <c r="AI9" s="678"/>
      <c r="AJ9" s="678"/>
      <c r="AK9" s="678"/>
      <c r="AL9" s="678"/>
      <c r="AM9" s="678"/>
      <c r="AN9" s="678"/>
      <c r="AO9" s="678"/>
      <c r="AP9" s="379" t="s">
        <v>3171</v>
      </c>
      <c r="AQ9" s="379" t="s">
        <v>3172</v>
      </c>
      <c r="AR9" s="379" t="s">
        <v>3173</v>
      </c>
      <c r="AS9" s="379" t="s">
        <v>3174</v>
      </c>
      <c r="AT9" s="379" t="s">
        <v>3159</v>
      </c>
      <c r="AU9" s="380" t="s">
        <v>3175</v>
      </c>
      <c r="AV9" s="380" t="s">
        <v>3177</v>
      </c>
      <c r="AW9" s="380" t="s">
        <v>3188</v>
      </c>
      <c r="AX9" s="380" t="s">
        <v>3189</v>
      </c>
      <c r="AY9" s="380" t="s">
        <v>3190</v>
      </c>
      <c r="AZ9" s="380" t="s">
        <v>3178</v>
      </c>
      <c r="BA9" s="380" t="s">
        <v>3179</v>
      </c>
      <c r="BB9" s="380" t="s">
        <v>3191</v>
      </c>
      <c r="BC9" s="380" t="s">
        <v>3185</v>
      </c>
      <c r="BD9" s="380" t="s">
        <v>3181</v>
      </c>
      <c r="BE9" s="380" t="s">
        <v>3182</v>
      </c>
      <c r="BF9" s="380" t="s">
        <v>3183</v>
      </c>
      <c r="BG9" s="380" t="s">
        <v>3425</v>
      </c>
      <c r="BH9" s="380" t="s">
        <v>3184</v>
      </c>
      <c r="BI9" s="380" t="s">
        <v>3187</v>
      </c>
      <c r="BJ9" s="681"/>
      <c r="BK9" s="673"/>
      <c r="BL9" s="673"/>
      <c r="BM9" s="378" t="s">
        <v>3193</v>
      </c>
      <c r="BN9" s="378" t="s">
        <v>3194</v>
      </c>
      <c r="BO9" s="673"/>
      <c r="BP9" s="673"/>
      <c r="BQ9" s="673"/>
      <c r="BR9" s="675"/>
      <c r="BS9" s="671"/>
      <c r="BT9" s="671"/>
      <c r="BU9" s="669"/>
      <c r="BV9" s="669"/>
      <c r="BW9" s="669"/>
      <c r="BX9" s="381" t="s">
        <v>3201</v>
      </c>
      <c r="BY9" s="382" t="str">
        <f>CONCATENATE("TOTAL REPASSE DIRETO EM ",D5)</f>
        <v>TOTAL REPASSE DIRETO EM SETEMBRO.16</v>
      </c>
      <c r="BZ9" s="378" t="str">
        <f>CONCATENATE("TOTAL RETENÇÃO CONTA VINCULADA EM ",D5)</f>
        <v>TOTAL RETENÇÃO CONTA VINCULADA EM SETEMBRO.16</v>
      </c>
      <c r="CA9" s="382" t="str">
        <f xml:space="preserve"> CONCATENATE("TOTAL NOTA FISCAL EM ",D5)</f>
        <v>TOTAL NOTA FISCAL EM SETEMBRO.16</v>
      </c>
      <c r="CB9" s="429"/>
    </row>
    <row r="10" spans="1:80" s="371" customFormat="1" ht="27.75" customHeight="1" thickBot="1">
      <c r="A10" s="384" t="s">
        <v>3533</v>
      </c>
      <c r="B10" s="385" t="s">
        <v>3572</v>
      </c>
      <c r="C10" s="385" t="s">
        <v>2070</v>
      </c>
      <c r="D10" s="386" t="s">
        <v>2071</v>
      </c>
      <c r="E10" s="387" t="s">
        <v>3573</v>
      </c>
      <c r="F10" s="388" t="s">
        <v>2246</v>
      </c>
      <c r="G10" s="385" t="s">
        <v>45</v>
      </c>
      <c r="H10" s="385" t="s">
        <v>1171</v>
      </c>
      <c r="I10" s="385" t="s">
        <v>1</v>
      </c>
      <c r="J10" s="385" t="s">
        <v>3570</v>
      </c>
      <c r="K10" s="389" t="s">
        <v>3435</v>
      </c>
      <c r="L10" s="359" t="s">
        <v>3574</v>
      </c>
      <c r="M10" s="360" t="s">
        <v>3575</v>
      </c>
      <c r="N10" s="360" t="s">
        <v>3211</v>
      </c>
      <c r="O10" s="360" t="s">
        <v>3209</v>
      </c>
      <c r="P10" s="361" t="s">
        <v>3576</v>
      </c>
      <c r="Q10" s="359" t="s">
        <v>3212</v>
      </c>
      <c r="R10" s="360" t="s">
        <v>3578</v>
      </c>
      <c r="S10" s="360" t="s">
        <v>3577</v>
      </c>
      <c r="T10" s="360" t="s">
        <v>3579</v>
      </c>
      <c r="U10" s="360" t="s">
        <v>3580</v>
      </c>
      <c r="V10" s="360" t="s">
        <v>3581</v>
      </c>
      <c r="W10" s="360" t="s">
        <v>3582</v>
      </c>
      <c r="X10" s="360" t="s">
        <v>3583</v>
      </c>
      <c r="Y10" s="360" t="s">
        <v>3584</v>
      </c>
      <c r="Z10" s="360" t="s">
        <v>3611</v>
      </c>
      <c r="AA10" s="362" t="s">
        <v>3585</v>
      </c>
      <c r="AB10" s="363" t="s">
        <v>3586</v>
      </c>
      <c r="AC10" s="360" t="s">
        <v>3587</v>
      </c>
      <c r="AD10" s="360" t="s">
        <v>3588</v>
      </c>
      <c r="AE10" s="360" t="s">
        <v>3589</v>
      </c>
      <c r="AF10" s="364" t="s">
        <v>3590</v>
      </c>
      <c r="AG10" s="365" t="s">
        <v>329</v>
      </c>
      <c r="AH10" s="365" t="s">
        <v>3136</v>
      </c>
      <c r="AI10" s="365" t="s">
        <v>3591</v>
      </c>
      <c r="AJ10" s="365" t="s">
        <v>3592</v>
      </c>
      <c r="AK10" s="365" t="s">
        <v>3154</v>
      </c>
      <c r="AL10" s="365" t="s">
        <v>3155</v>
      </c>
      <c r="AM10" s="365" t="s">
        <v>3156</v>
      </c>
      <c r="AN10" s="365" t="s">
        <v>3593</v>
      </c>
      <c r="AO10" s="366" t="s">
        <v>3594</v>
      </c>
      <c r="AP10" s="360" t="s">
        <v>3595</v>
      </c>
      <c r="AQ10" s="360" t="s">
        <v>3596</v>
      </c>
      <c r="AR10" s="360" t="s">
        <v>3597</v>
      </c>
      <c r="AS10" s="360" t="s">
        <v>3598</v>
      </c>
      <c r="AT10" s="360" t="s">
        <v>3599</v>
      </c>
      <c r="AU10" s="394">
        <v>0.36799999999999999</v>
      </c>
      <c r="AV10" s="394">
        <v>1.8E-3</v>
      </c>
      <c r="AW10" s="394">
        <v>5.0000000000000001E-3</v>
      </c>
      <c r="AX10" s="394">
        <v>4.0000000000000002E-4</v>
      </c>
      <c r="AY10" s="394">
        <v>2.0000000000000001E-4</v>
      </c>
      <c r="AZ10" s="394">
        <v>3.5000000000000001E-3</v>
      </c>
      <c r="BA10" s="394">
        <f>AU10*AZ10</f>
        <v>1.2880000000000001E-3</v>
      </c>
      <c r="BB10" s="394">
        <v>1.6999999999999999E-3</v>
      </c>
      <c r="BC10" s="367" t="s">
        <v>3600</v>
      </c>
      <c r="BD10" s="394">
        <v>1.3899999999999999E-2</v>
      </c>
      <c r="BE10" s="394">
        <v>8.3999999999999995E-3</v>
      </c>
      <c r="BF10" s="394">
        <v>3.3E-3</v>
      </c>
      <c r="BG10" s="394">
        <v>0</v>
      </c>
      <c r="BH10" s="394">
        <f>AU10*(BD10+BE10+BF10)</f>
        <v>9.4208E-3</v>
      </c>
      <c r="BI10" s="368" t="s">
        <v>3601</v>
      </c>
      <c r="BJ10" s="368" t="s">
        <v>3602</v>
      </c>
      <c r="BK10" s="394">
        <v>8.3299999999999999E-2</v>
      </c>
      <c r="BL10" s="394">
        <v>0.1111</v>
      </c>
      <c r="BM10" s="538">
        <v>0.36799999999999999</v>
      </c>
      <c r="BN10" s="538">
        <v>0.36799999999999999</v>
      </c>
      <c r="BO10" s="394">
        <v>4.2999999999999997E-2</v>
      </c>
      <c r="BP10" s="368" t="s">
        <v>3612</v>
      </c>
      <c r="BQ10" s="368" t="s">
        <v>3608</v>
      </c>
      <c r="BR10" s="360" t="s">
        <v>3603</v>
      </c>
      <c r="BS10" s="390">
        <v>288.66000000000003</v>
      </c>
      <c r="BT10" s="390">
        <v>346.26</v>
      </c>
      <c r="BU10" s="369" t="s">
        <v>3604</v>
      </c>
      <c r="BV10" s="369" t="s">
        <v>3605</v>
      </c>
      <c r="BW10" s="368" t="s">
        <v>3199</v>
      </c>
      <c r="BX10" s="368" t="s">
        <v>3606</v>
      </c>
      <c r="BY10" s="360" t="s">
        <v>3607</v>
      </c>
      <c r="BZ10" s="360" t="s">
        <v>3609</v>
      </c>
      <c r="CA10" s="361" t="s">
        <v>3610</v>
      </c>
      <c r="CB10" s="370" t="s">
        <v>2202</v>
      </c>
    </row>
    <row r="11" spans="1:80" s="450" customFormat="1" ht="15.75" customHeight="1">
      <c r="A11" s="435">
        <v>1</v>
      </c>
      <c r="B11" s="435">
        <v>1</v>
      </c>
      <c r="C11" s="435" t="s">
        <v>3867</v>
      </c>
      <c r="D11" s="436">
        <f>VLOOKUP(C11,ISS!A:B,2,0)</f>
        <v>0.03</v>
      </c>
      <c r="E11" s="437">
        <f>IF(D11=2%,5.99%,IF(D11=2.5%,6.55%,IF(D11=3%,7.12%,IF(D11=3.5%,7.7%,IF(D11=4%,8.28%,IF(D11=5%,9.46%))))))</f>
        <v>7.1199999999999999E-2</v>
      </c>
      <c r="F11" s="438">
        <v>1</v>
      </c>
      <c r="G11" s="439">
        <v>12341</v>
      </c>
      <c r="H11" s="440" t="s">
        <v>3932</v>
      </c>
      <c r="I11" s="435" t="s">
        <v>3849</v>
      </c>
      <c r="J11" s="102" t="s">
        <v>3521</v>
      </c>
      <c r="K11" s="435" t="str">
        <f>CONCATENATE(C11,I11)</f>
        <v>AracuaiVIGILANTE ARMADO - 220 H</v>
      </c>
      <c r="L11" s="441" t="s">
        <v>3882</v>
      </c>
      <c r="M11" s="441"/>
      <c r="N11" s="102"/>
      <c r="O11" s="102"/>
      <c r="P11" s="102"/>
      <c r="Q11" s="442">
        <f>VLOOKUP('BANCO DADOS-CUSTO TOTAL'!$K11,PARAMETROS!$E:AX,3,0)</f>
        <v>1602.86</v>
      </c>
      <c r="R11" s="442">
        <f>VLOOKUP('BANCO DADOS-CUSTO TOTAL'!$K11,PARAMETROS!$E:AY,4,0)</f>
        <v>0</v>
      </c>
      <c r="S11" s="442">
        <f>VLOOKUP('BANCO DADOS-CUSTO TOTAL'!$K11,PARAMETROS!$E:AZ,5,0)</f>
        <v>480.85799999999995</v>
      </c>
      <c r="T11" s="442">
        <f>VLOOKUP('BANCO DADOS-CUSTO TOTAL'!$K11,PARAMETROS!$E:BA,6,0)</f>
        <v>0</v>
      </c>
      <c r="U11" s="442">
        <f>VLOOKUP('BANCO DADOS-CUSTO TOTAL'!$K11,PARAMETROS!$E:BB,7,0)</f>
        <v>0</v>
      </c>
      <c r="V11" s="442">
        <f>VLOOKUP('BANCO DADOS-CUSTO TOTAL'!$K11,PARAMETROS!$E:BC,8,0)</f>
        <v>0</v>
      </c>
      <c r="W11" s="442">
        <f>VLOOKUP('BANCO DADOS-CUSTO TOTAL'!$K11,PARAMETROS!$E:BD,9,0)</f>
        <v>189.42890909090909</v>
      </c>
      <c r="X11" s="442">
        <f>VLOOKUP('BANCO DADOS-CUSTO TOTAL'!$K11,PARAMETROS!$E:BE,10,0)</f>
        <v>13.891453333333336</v>
      </c>
      <c r="Y11" s="443">
        <f>TRUNC(SUM(Q11:X11),2)</f>
        <v>2287.0300000000002</v>
      </c>
      <c r="Z11" s="456"/>
      <c r="AA11" s="444">
        <v>30</v>
      </c>
      <c r="AB11" s="445">
        <f>IF(J11="EFETIVO",IF(AND(L11="",M11=""),$M$5,IF(AND(L11&lt;&gt;"",M11&lt;&gt;"",MONTH(L11)=MONTH(M11),YEAR(L11)=YEAR(M11)),M11-L11+1,IF(AND(L11&lt;&gt;"",M11&lt;&gt;"",MONTH(L11)&lt;&gt;MONTH(M11)),DAY(M11),IF(AND(L11="",M11&lt;&gt;"",MONTH($H$5)=MONTH(M11),YEAR(M11)=YEAR($H$5)),M11-$K$5+1,IF(AND(L11&lt;&gt;"",M11="",MONTH($K$5)=MONTH(L11),YEAR($K$5)=YEAR(L11)),30-DAY(L11)+1,$M$5))))),0)</f>
        <v>30</v>
      </c>
      <c r="AC11" s="446">
        <f>(Y11/30)*(AA11-Z11)</f>
        <v>2287.0300000000002</v>
      </c>
      <c r="AD11" s="447">
        <f>Y11</f>
        <v>2287.0300000000002</v>
      </c>
      <c r="AE11" s="447">
        <f>IF(AND(J11="EFETIVO",N11="FÉRIAS"),AD11,IF(J11="EFETIVO",AC11,0))</f>
        <v>2287.0300000000002</v>
      </c>
      <c r="AF11" s="443">
        <f>IF($J11="EFETIVO",VLOOKUP($K11,PARAMETROS!$E:AX,11,0),0)</f>
        <v>112.9</v>
      </c>
      <c r="AG11" s="443">
        <f>VLOOKUP($H11,'VA E VT - APOIO.LIMPEZA'!$F:AX,14,0)</f>
        <v>287.82</v>
      </c>
      <c r="AH11" s="443">
        <f>VLOOKUP($H11,'VA E VT - APOIO.LIMPEZA'!$F:AY,20,0)</f>
        <v>51.828400000000002</v>
      </c>
      <c r="AI11" s="443">
        <f>IF($J11="EFETIVO",VLOOKUP($K11,PARAMETROS!$E:BA,14,0),0)</f>
        <v>91.08</v>
      </c>
      <c r="AJ11" s="443">
        <f>IF($J11="EFETIVO",VLOOKUP($K11,PARAMETROS!$E:BB,15,0),0)</f>
        <v>17.03</v>
      </c>
      <c r="AK11" s="443"/>
      <c r="AL11" s="443"/>
      <c r="AM11" s="443"/>
      <c r="AN11" s="443"/>
      <c r="AO11" s="448">
        <f>SUM(AF11:AN11)</f>
        <v>560.65840000000003</v>
      </c>
      <c r="AP11" s="443">
        <f>IF($J11="EFETIVO",VLOOKUP($K11,PARAMETROS!$E:BH,20,0),0)</f>
        <v>62.37</v>
      </c>
      <c r="AQ11" s="446"/>
      <c r="AR11" s="443">
        <f>IF($J11="EFETIVO",VLOOKUP($K11,PARAMETROS!$E:BJ,22,0),0)</f>
        <v>58.53</v>
      </c>
      <c r="AS11" s="446"/>
      <c r="AT11" s="448">
        <f>(AP11+AQ11+AR11+AS11)</f>
        <v>120.9</v>
      </c>
      <c r="AU11" s="448">
        <f>$AU$10*AC11</f>
        <v>841.62704000000008</v>
      </c>
      <c r="AV11" s="448">
        <f>IF($J11="EFETIVO",$Y11*AV$10,0)</f>
        <v>4.1166540000000005</v>
      </c>
      <c r="AW11" s="448">
        <f t="shared" ref="AW11:BB11" si="0">IF($J11="EFETIVO",$Y11*AW$10,0)</f>
        <v>11.435150000000002</v>
      </c>
      <c r="AX11" s="448">
        <f t="shared" si="0"/>
        <v>0.91481200000000007</v>
      </c>
      <c r="AY11" s="448">
        <f t="shared" si="0"/>
        <v>0.45740600000000003</v>
      </c>
      <c r="AZ11" s="448">
        <f t="shared" si="0"/>
        <v>8.0046050000000015</v>
      </c>
      <c r="BA11" s="448">
        <f t="shared" si="0"/>
        <v>2.9456946400000006</v>
      </c>
      <c r="BB11" s="448">
        <f t="shared" si="0"/>
        <v>3.8879510000000002</v>
      </c>
      <c r="BC11" s="448">
        <f>TRUNC(SUM(AW11:BB11),2)</f>
        <v>27.64</v>
      </c>
      <c r="BD11" s="448">
        <f>IF($J11="EFETIVO",$Y11*BD$10,0)</f>
        <v>31.789717</v>
      </c>
      <c r="BE11" s="448">
        <f>IF($J11="EFETIVO",$Y11*BE$10,0)</f>
        <v>19.211052000000002</v>
      </c>
      <c r="BF11" s="448">
        <f>IF($J11="EFETIVO",$Y11*BF$10,0)</f>
        <v>7.5471990000000009</v>
      </c>
      <c r="BG11" s="448">
        <f>IF($J11="EFETIVO",$Y11*BG$10,0)</f>
        <v>0</v>
      </c>
      <c r="BH11" s="448">
        <f>IF($J11="EFETIVO",$Y11*BH$10,0)</f>
        <v>21.545652224000001</v>
      </c>
      <c r="BI11" s="448">
        <f>TRUNC(SUM(BD11:BH11),2)</f>
        <v>80.09</v>
      </c>
      <c r="BJ11" s="448">
        <f>TRUNC((BI11+BC11+AV11+AU11),2)</f>
        <v>953.47</v>
      </c>
      <c r="BK11" s="448">
        <f>IF($N11="FÉRIAS",$AD11*$BK$10,IF($AB11&gt;=15,$AD11*$BK$10,0))</f>
        <v>190.50959900000001</v>
      </c>
      <c r="BL11" s="448">
        <f>IF($N11="FÉRIAS",$AD11*$BL$10,IF($AB11&gt;=15,$AD11*$BL$10,0))</f>
        <v>254.08903300000003</v>
      </c>
      <c r="BM11" s="448">
        <f>$BM$10*BK11</f>
        <v>70.107532431999999</v>
      </c>
      <c r="BN11" s="448">
        <f>$BN$10*BL11</f>
        <v>93.504764144000006</v>
      </c>
      <c r="BO11" s="448">
        <f>$BO$10*AE11</f>
        <v>98.342290000000006</v>
      </c>
      <c r="BP11" s="448"/>
      <c r="BQ11" s="448">
        <f>TRUNC(SUM(BK11:BP11),2)</f>
        <v>706.55</v>
      </c>
      <c r="BR11" s="448">
        <f>TRUNC((BJ11+BQ11),2)</f>
        <v>1660.02</v>
      </c>
      <c r="BS11" s="448">
        <f>IF($J11="EFETIVO",BS$10,0)</f>
        <v>288.66000000000003</v>
      </c>
      <c r="BT11" s="448">
        <f>IF($J11="EFETIVO",BT$10,0)</f>
        <v>346.26</v>
      </c>
      <c r="BU11" s="448">
        <f>((AC11+AO11+AT11+BJ11+BS11+BT11)*E11)</f>
        <v>324.45686208000001</v>
      </c>
      <c r="BV11" s="448">
        <f>BQ11*E11</f>
        <v>50.306359999999998</v>
      </c>
      <c r="BW11" s="448">
        <f>SUM(BU11:BV11)</f>
        <v>374.76322207999999</v>
      </c>
      <c r="BX11" s="448">
        <f>BS11+BT11+BW11</f>
        <v>1009.6832220800001</v>
      </c>
      <c r="BY11" s="448">
        <f>(AC11+AO11+AT11+BJ11+BX11)</f>
        <v>4931.7416220799996</v>
      </c>
      <c r="BZ11" s="448">
        <f>BQ11</f>
        <v>706.55</v>
      </c>
      <c r="CA11" s="448">
        <f>BY11+BZ11</f>
        <v>5638.2916220799998</v>
      </c>
      <c r="CB11" s="449"/>
    </row>
    <row r="12" spans="1:80" s="480" customFormat="1" ht="15.75" customHeight="1">
      <c r="A12" s="462"/>
      <c r="B12" s="462"/>
      <c r="C12" s="462" t="s">
        <v>3878</v>
      </c>
      <c r="D12" s="463"/>
      <c r="E12" s="464"/>
      <c r="F12" s="465"/>
      <c r="G12" s="466"/>
      <c r="H12" s="467"/>
      <c r="I12" s="462"/>
      <c r="J12" s="468"/>
      <c r="K12" s="462"/>
      <c r="L12" s="469"/>
      <c r="M12" s="469"/>
      <c r="N12" s="468"/>
      <c r="O12" s="468"/>
      <c r="P12" s="468"/>
      <c r="Q12" s="470"/>
      <c r="R12" s="470"/>
      <c r="S12" s="470"/>
      <c r="T12" s="470"/>
      <c r="U12" s="470"/>
      <c r="V12" s="470"/>
      <c r="W12" s="470"/>
      <c r="X12" s="470"/>
      <c r="Y12" s="471"/>
      <c r="Z12" s="472"/>
      <c r="AA12" s="473"/>
      <c r="AB12" s="474"/>
      <c r="AC12" s="475"/>
      <c r="AD12" s="476"/>
      <c r="AE12" s="476"/>
      <c r="AF12" s="478">
        <f t="shared" ref="AF12:BR12" si="1">SUBTOTAL(9,AF11)</f>
        <v>112.9</v>
      </c>
      <c r="AG12" s="477">
        <f t="shared" si="1"/>
        <v>287.82</v>
      </c>
      <c r="AH12" s="477">
        <f t="shared" si="1"/>
        <v>51.828400000000002</v>
      </c>
      <c r="AI12" s="477">
        <f t="shared" si="1"/>
        <v>91.08</v>
      </c>
      <c r="AJ12" s="477">
        <f t="shared" si="1"/>
        <v>17.03</v>
      </c>
      <c r="AK12" s="477">
        <f t="shared" si="1"/>
        <v>0</v>
      </c>
      <c r="AL12" s="477">
        <f t="shared" si="1"/>
        <v>0</v>
      </c>
      <c r="AM12" s="477">
        <f t="shared" si="1"/>
        <v>0</v>
      </c>
      <c r="AN12" s="477">
        <f t="shared" si="1"/>
        <v>0</v>
      </c>
      <c r="AO12" s="477">
        <f t="shared" si="1"/>
        <v>560.65840000000003</v>
      </c>
      <c r="AP12" s="477">
        <f t="shared" si="1"/>
        <v>62.37</v>
      </c>
      <c r="AQ12" s="477">
        <f t="shared" si="1"/>
        <v>0</v>
      </c>
      <c r="AR12" s="477">
        <f t="shared" si="1"/>
        <v>58.53</v>
      </c>
      <c r="AS12" s="477">
        <f t="shared" si="1"/>
        <v>0</v>
      </c>
      <c r="AT12" s="477">
        <f t="shared" si="1"/>
        <v>120.9</v>
      </c>
      <c r="AU12" s="477">
        <f t="shared" si="1"/>
        <v>841.62704000000008</v>
      </c>
      <c r="AV12" s="477">
        <f t="shared" si="1"/>
        <v>4.1166540000000005</v>
      </c>
      <c r="AW12" s="477">
        <f t="shared" si="1"/>
        <v>11.435150000000002</v>
      </c>
      <c r="AX12" s="477">
        <f t="shared" si="1"/>
        <v>0.91481200000000007</v>
      </c>
      <c r="AY12" s="477">
        <f t="shared" si="1"/>
        <v>0.45740600000000003</v>
      </c>
      <c r="AZ12" s="477">
        <f t="shared" si="1"/>
        <v>8.0046050000000015</v>
      </c>
      <c r="BA12" s="477">
        <f t="shared" si="1"/>
        <v>2.9456946400000006</v>
      </c>
      <c r="BB12" s="477">
        <f t="shared" si="1"/>
        <v>3.8879510000000002</v>
      </c>
      <c r="BC12" s="477">
        <f t="shared" si="1"/>
        <v>27.64</v>
      </c>
      <c r="BD12" s="477">
        <f t="shared" si="1"/>
        <v>31.789717</v>
      </c>
      <c r="BE12" s="477">
        <f t="shared" si="1"/>
        <v>19.211052000000002</v>
      </c>
      <c r="BF12" s="477">
        <f t="shared" si="1"/>
        <v>7.5471990000000009</v>
      </c>
      <c r="BG12" s="477">
        <f t="shared" si="1"/>
        <v>0</v>
      </c>
      <c r="BH12" s="477">
        <f t="shared" si="1"/>
        <v>21.545652224000001</v>
      </c>
      <c r="BI12" s="477">
        <f t="shared" si="1"/>
        <v>80.09</v>
      </c>
      <c r="BJ12" s="477">
        <f t="shared" si="1"/>
        <v>953.47</v>
      </c>
      <c r="BK12" s="477">
        <f t="shared" si="1"/>
        <v>190.50959900000001</v>
      </c>
      <c r="BL12" s="477">
        <f t="shared" si="1"/>
        <v>254.08903300000003</v>
      </c>
      <c r="BM12" s="477">
        <f t="shared" si="1"/>
        <v>70.107532431999999</v>
      </c>
      <c r="BN12" s="477">
        <f t="shared" si="1"/>
        <v>93.504764144000006</v>
      </c>
      <c r="BO12" s="477">
        <f t="shared" si="1"/>
        <v>98.342290000000006</v>
      </c>
      <c r="BP12" s="477">
        <f t="shared" si="1"/>
        <v>0</v>
      </c>
      <c r="BQ12" s="477">
        <f t="shared" si="1"/>
        <v>706.55</v>
      </c>
      <c r="BR12" s="477">
        <f t="shared" si="1"/>
        <v>1660.02</v>
      </c>
      <c r="BS12" s="477">
        <f t="shared" ref="BS12:BX12" si="2">SUBTOTAL(9,BS11)</f>
        <v>288.66000000000003</v>
      </c>
      <c r="BT12" s="477">
        <f t="shared" si="2"/>
        <v>346.26</v>
      </c>
      <c r="BU12" s="477">
        <f t="shared" si="2"/>
        <v>324.45686208000001</v>
      </c>
      <c r="BV12" s="477">
        <f t="shared" si="2"/>
        <v>50.306359999999998</v>
      </c>
      <c r="BW12" s="477">
        <f t="shared" si="2"/>
        <v>374.76322207999999</v>
      </c>
      <c r="BX12" s="477">
        <f t="shared" si="2"/>
        <v>1009.6832220800001</v>
      </c>
      <c r="BY12" s="477">
        <f>SUBTOTAL(9,BY11)</f>
        <v>4931.7416220799996</v>
      </c>
      <c r="BZ12" s="477">
        <f>SUBTOTAL(9,BZ11)</f>
        <v>706.55</v>
      </c>
      <c r="CA12" s="477">
        <f>SUBTOTAL(9,CA11)</f>
        <v>5638.2916220799998</v>
      </c>
      <c r="CB12" s="479"/>
    </row>
    <row r="13" spans="1:80" s="450" customFormat="1" ht="15.75" customHeight="1">
      <c r="A13" s="435">
        <v>1</v>
      </c>
      <c r="B13" s="435">
        <v>1</v>
      </c>
      <c r="C13" s="435" t="s">
        <v>3832</v>
      </c>
      <c r="D13" s="436">
        <f>VLOOKUP(C13,ISS!A:B,2,0)</f>
        <v>0.02</v>
      </c>
      <c r="E13" s="437">
        <f>IF(D13=2%,5.99%,IF(D13=2.5%,6.55%,IF(D13=3%,7.12%,IF(D13=3.5%,7.7%,IF(D13=4%,8.28%,IF(D13=5%,9.46%))))))</f>
        <v>5.9900000000000002E-2</v>
      </c>
      <c r="F13" s="438">
        <v>2</v>
      </c>
      <c r="G13" s="439">
        <v>12342</v>
      </c>
      <c r="H13" s="440" t="s">
        <v>3933</v>
      </c>
      <c r="I13" s="435" t="s">
        <v>3849</v>
      </c>
      <c r="J13" s="102" t="s">
        <v>3521</v>
      </c>
      <c r="K13" s="435" t="str">
        <f t="shared" ref="K13:K22" si="3">CONCATENATE(C13,I13)</f>
        <v>AraguariVIGILANTE ARMADO - 220 H</v>
      </c>
      <c r="L13" s="441" t="s">
        <v>3882</v>
      </c>
      <c r="M13" s="441"/>
      <c r="N13" s="102"/>
      <c r="O13" s="102"/>
      <c r="P13" s="102"/>
      <c r="Q13" s="442">
        <f>VLOOKUP('BANCO DADOS-CUSTO TOTAL'!$K13,PARAMETROS!$E:AX,3,0)</f>
        <v>1602.86</v>
      </c>
      <c r="R13" s="442">
        <f>VLOOKUP('BANCO DADOS-CUSTO TOTAL'!$K13,PARAMETROS!$E:AY,4,0)</f>
        <v>0</v>
      </c>
      <c r="S13" s="442">
        <f>VLOOKUP('BANCO DADOS-CUSTO TOTAL'!$K13,PARAMETROS!$E:AZ,5,0)</f>
        <v>480.85799999999995</v>
      </c>
      <c r="T13" s="442">
        <f>VLOOKUP('BANCO DADOS-CUSTO TOTAL'!$K13,PARAMETROS!$E:BA,6,0)</f>
        <v>0</v>
      </c>
      <c r="U13" s="442">
        <f>VLOOKUP('BANCO DADOS-CUSTO TOTAL'!$K13,PARAMETROS!$E:BB,7,0)</f>
        <v>0</v>
      </c>
      <c r="V13" s="442">
        <f>VLOOKUP('BANCO DADOS-CUSTO TOTAL'!$K13,PARAMETROS!$E:BC,8,0)</f>
        <v>0</v>
      </c>
      <c r="W13" s="442">
        <f>VLOOKUP('BANCO DADOS-CUSTO TOTAL'!$K13,PARAMETROS!$E:BD,9,0)</f>
        <v>189.42890909090909</v>
      </c>
      <c r="X13" s="442">
        <f>VLOOKUP('BANCO DADOS-CUSTO TOTAL'!$K13,PARAMETROS!$E:BE,10,0)</f>
        <v>13.891453333333336</v>
      </c>
      <c r="Y13" s="443">
        <f>TRUNC(SUM(Q13:X13),2)</f>
        <v>2287.0300000000002</v>
      </c>
      <c r="Z13" s="456"/>
      <c r="AA13" s="444">
        <v>30</v>
      </c>
      <c r="AB13" s="445">
        <f>IF(J13="EFETIVO",IF(AND(L13="",M13=""),$M$5,IF(AND(L13&lt;&gt;"",M13&lt;&gt;"",MONTH(L13)=MONTH(M13),YEAR(L13)=YEAR(M13)),M13-L13+1,IF(AND(L13&lt;&gt;"",M13&lt;&gt;"",MONTH(L13)&lt;&gt;MONTH(M13)),DAY(M13),IF(AND(L13="",M13&lt;&gt;"",MONTH($H$5)=MONTH(M13),YEAR(M13)=YEAR($H$5)),M13-$K$5+1,IF(AND(L13&lt;&gt;"",M13="",MONTH($K$5)=MONTH(L13),YEAR($K$5)=YEAR(L13)),30-DAY(L13)+1,$M$5))))),0)</f>
        <v>30</v>
      </c>
      <c r="AC13" s="446">
        <f>(Y13/30)*(AA13-Z13)</f>
        <v>2287.0300000000002</v>
      </c>
      <c r="AD13" s="447">
        <f>Y13</f>
        <v>2287.0300000000002</v>
      </c>
      <c r="AE13" s="447">
        <f>IF(AND(J13="EFETIVO",N13="FÉRIAS"),AD13,IF(J13="EFETIVO",AC13,0))</f>
        <v>2287.0300000000002</v>
      </c>
      <c r="AF13" s="443">
        <f>IF(J13="EFETIVO",VLOOKUP(K13,PARAMETROS!$E:AX,11,0),0)</f>
        <v>112.9</v>
      </c>
      <c r="AG13" s="443">
        <f>VLOOKUP(H13,'VA E VT - APOIO.LIMPEZA'!F:AX,14,0)</f>
        <v>287.82</v>
      </c>
      <c r="AH13" s="443">
        <f>VLOOKUP($H13,'VA E VT - APOIO.LIMPEZA'!$F:AY,20,0)</f>
        <v>51.828400000000002</v>
      </c>
      <c r="AI13" s="443">
        <f>IF($J13="EFETIVO",VLOOKUP($K13,PARAMETROS!$E:BA,14,0),0)</f>
        <v>91.08</v>
      </c>
      <c r="AJ13" s="443">
        <f>IF($J13="EFETIVO",VLOOKUP($K13,PARAMETROS!$E:BB,15,0),0)</f>
        <v>17.03</v>
      </c>
      <c r="AK13" s="443"/>
      <c r="AL13" s="443"/>
      <c r="AM13" s="443"/>
      <c r="AN13" s="443"/>
      <c r="AO13" s="448">
        <f>SUM(AF13:AN13)</f>
        <v>560.65840000000003</v>
      </c>
      <c r="AP13" s="443">
        <f>IF($J13="EFETIVO",VLOOKUP($K13,PARAMETROS!$E:BH,20,0),0)</f>
        <v>62.37</v>
      </c>
      <c r="AQ13" s="446"/>
      <c r="AR13" s="443">
        <f>IF($J13="EFETIVO",VLOOKUP($K13,PARAMETROS!$E:BJ,22,0),0)</f>
        <v>58.53</v>
      </c>
      <c r="AS13" s="446"/>
      <c r="AT13" s="448">
        <f>(AP13+AQ13+AR13+AS13)</f>
        <v>120.9</v>
      </c>
      <c r="AU13" s="448">
        <f>$AU$10*AC13</f>
        <v>841.62704000000008</v>
      </c>
      <c r="AV13" s="448">
        <f t="shared" ref="AV13:BB13" si="4">IF($J13="EFETIVO",$Y13*AV$10,0)</f>
        <v>4.1166540000000005</v>
      </c>
      <c r="AW13" s="448">
        <f t="shared" si="4"/>
        <v>11.435150000000002</v>
      </c>
      <c r="AX13" s="448">
        <f t="shared" si="4"/>
        <v>0.91481200000000007</v>
      </c>
      <c r="AY13" s="448">
        <f t="shared" si="4"/>
        <v>0.45740600000000003</v>
      </c>
      <c r="AZ13" s="448">
        <f t="shared" si="4"/>
        <v>8.0046050000000015</v>
      </c>
      <c r="BA13" s="448">
        <f t="shared" si="4"/>
        <v>2.9456946400000006</v>
      </c>
      <c r="BB13" s="448">
        <f t="shared" si="4"/>
        <v>3.8879510000000002</v>
      </c>
      <c r="BC13" s="448">
        <f>TRUNC(SUM(AW13:BB13),2)</f>
        <v>27.64</v>
      </c>
      <c r="BD13" s="448">
        <f>IF($J13="EFETIVO",$Y13*BD$10,0)</f>
        <v>31.789717</v>
      </c>
      <c r="BE13" s="448">
        <f>IF($J13="EFETIVO",$Y13*BE$10,0)</f>
        <v>19.211052000000002</v>
      </c>
      <c r="BF13" s="448">
        <f>IF($J13="EFETIVO",$Y13*BF$10,0)</f>
        <v>7.5471990000000009</v>
      </c>
      <c r="BG13" s="448">
        <f>IF($J13="EFETIVO",$Y13*BG$10,0)</f>
        <v>0</v>
      </c>
      <c r="BH13" s="448">
        <f>IF($J13="EFETIVO",$Y13*BH$10,0)</f>
        <v>21.545652224000001</v>
      </c>
      <c r="BI13" s="448">
        <f>TRUNC(SUM(BD13:BH13),2)</f>
        <v>80.09</v>
      </c>
      <c r="BJ13" s="448">
        <f>TRUNC((BI13+BC13+AV13+AU13),2)</f>
        <v>953.47</v>
      </c>
      <c r="BK13" s="448">
        <f>IF($N13="FÉRIAS",$AD13*$BK$10,IF($AB13&gt;=15,$AD13*$BK$10,0))</f>
        <v>190.50959900000001</v>
      </c>
      <c r="BL13" s="448">
        <f>IF($N13="FÉRIAS",$AD13*$BL$10,IF($AB13&gt;=15,$AD13*$BL$10,0))</f>
        <v>254.08903300000003</v>
      </c>
      <c r="BM13" s="448">
        <f>$BM$10*BK13</f>
        <v>70.107532431999999</v>
      </c>
      <c r="BN13" s="448">
        <f>$BN$10*BL13</f>
        <v>93.504764144000006</v>
      </c>
      <c r="BO13" s="448">
        <f>$BO$10*AE13</f>
        <v>98.342290000000006</v>
      </c>
      <c r="BP13" s="448"/>
      <c r="BQ13" s="448">
        <f>TRUNC(SUM(BK13:BP13),2)</f>
        <v>706.55</v>
      </c>
      <c r="BR13" s="448">
        <f>TRUNC((BJ13+BQ13),2)</f>
        <v>1660.02</v>
      </c>
      <c r="BS13" s="448">
        <f>IF($J13="EFETIVO",BS$10,0)</f>
        <v>288.66000000000003</v>
      </c>
      <c r="BT13" s="448">
        <f>IF($J13="EFETIVO",BT$10,0)</f>
        <v>346.26</v>
      </c>
      <c r="BU13" s="448">
        <f>((AC13+AO13+AT13+BJ13+BS13+BT13)*E13)</f>
        <v>272.96300616000002</v>
      </c>
      <c r="BV13" s="448">
        <f>BQ13*E13</f>
        <v>42.322344999999999</v>
      </c>
      <c r="BW13" s="448">
        <f>SUM(BU13:BV13)</f>
        <v>315.28535116</v>
      </c>
      <c r="BX13" s="448">
        <f>BS13+BT13+BW13</f>
        <v>950.20535116000008</v>
      </c>
      <c r="BY13" s="448">
        <f>(AC13+AO13+AT13+BJ13+BX13)</f>
        <v>4872.2637511599996</v>
      </c>
      <c r="BZ13" s="448">
        <f>BQ13</f>
        <v>706.55</v>
      </c>
      <c r="CA13" s="448">
        <f>BY13+BZ13</f>
        <v>5578.8137511599998</v>
      </c>
      <c r="CB13" s="449"/>
    </row>
    <row r="14" spans="1:80" s="480" customFormat="1" ht="15.75" customHeight="1">
      <c r="A14" s="462"/>
      <c r="B14" s="462"/>
      <c r="C14" s="462" t="s">
        <v>3879</v>
      </c>
      <c r="D14" s="463"/>
      <c r="E14" s="464"/>
      <c r="F14" s="465"/>
      <c r="G14" s="466"/>
      <c r="H14" s="467"/>
      <c r="I14" s="462"/>
      <c r="J14" s="468"/>
      <c r="K14" s="462"/>
      <c r="L14" s="469"/>
      <c r="M14" s="469"/>
      <c r="N14" s="468"/>
      <c r="O14" s="468"/>
      <c r="P14" s="468"/>
      <c r="Q14" s="470"/>
      <c r="R14" s="470"/>
      <c r="S14" s="470"/>
      <c r="T14" s="470"/>
      <c r="U14" s="470"/>
      <c r="V14" s="470"/>
      <c r="W14" s="470"/>
      <c r="X14" s="470"/>
      <c r="Y14" s="471"/>
      <c r="Z14" s="472"/>
      <c r="AA14" s="473"/>
      <c r="AB14" s="474"/>
      <c r="AC14" s="475"/>
      <c r="AD14" s="476"/>
      <c r="AE14" s="476"/>
      <c r="AF14" s="478">
        <f t="shared" ref="AF14:BX14" si="5">SUBTOTAL(9,AF13)</f>
        <v>112.9</v>
      </c>
      <c r="AG14" s="477">
        <f t="shared" si="5"/>
        <v>287.82</v>
      </c>
      <c r="AH14" s="477">
        <f t="shared" si="5"/>
        <v>51.828400000000002</v>
      </c>
      <c r="AI14" s="477">
        <f t="shared" si="5"/>
        <v>91.08</v>
      </c>
      <c r="AJ14" s="477">
        <f t="shared" si="5"/>
        <v>17.03</v>
      </c>
      <c r="AK14" s="477">
        <f t="shared" si="5"/>
        <v>0</v>
      </c>
      <c r="AL14" s="477">
        <f t="shared" si="5"/>
        <v>0</v>
      </c>
      <c r="AM14" s="477">
        <f t="shared" si="5"/>
        <v>0</v>
      </c>
      <c r="AN14" s="477">
        <f t="shared" si="5"/>
        <v>0</v>
      </c>
      <c r="AO14" s="477">
        <f t="shared" si="5"/>
        <v>560.65840000000003</v>
      </c>
      <c r="AP14" s="477">
        <f t="shared" si="5"/>
        <v>62.37</v>
      </c>
      <c r="AQ14" s="477">
        <f t="shared" si="5"/>
        <v>0</v>
      </c>
      <c r="AR14" s="477">
        <f t="shared" si="5"/>
        <v>58.53</v>
      </c>
      <c r="AS14" s="477">
        <f t="shared" si="5"/>
        <v>0</v>
      </c>
      <c r="AT14" s="477">
        <f t="shared" si="5"/>
        <v>120.9</v>
      </c>
      <c r="AU14" s="477">
        <f t="shared" si="5"/>
        <v>841.62704000000008</v>
      </c>
      <c r="AV14" s="477">
        <f t="shared" si="5"/>
        <v>4.1166540000000005</v>
      </c>
      <c r="AW14" s="477">
        <f t="shared" si="5"/>
        <v>11.435150000000002</v>
      </c>
      <c r="AX14" s="477">
        <f t="shared" si="5"/>
        <v>0.91481200000000007</v>
      </c>
      <c r="AY14" s="477">
        <f t="shared" si="5"/>
        <v>0.45740600000000003</v>
      </c>
      <c r="AZ14" s="477">
        <f t="shared" si="5"/>
        <v>8.0046050000000015</v>
      </c>
      <c r="BA14" s="477">
        <f t="shared" si="5"/>
        <v>2.9456946400000006</v>
      </c>
      <c r="BB14" s="477">
        <f t="shared" si="5"/>
        <v>3.8879510000000002</v>
      </c>
      <c r="BC14" s="477">
        <f t="shared" si="5"/>
        <v>27.64</v>
      </c>
      <c r="BD14" s="477">
        <f t="shared" si="5"/>
        <v>31.789717</v>
      </c>
      <c r="BE14" s="477">
        <f t="shared" si="5"/>
        <v>19.211052000000002</v>
      </c>
      <c r="BF14" s="477">
        <f t="shared" si="5"/>
        <v>7.5471990000000009</v>
      </c>
      <c r="BG14" s="477">
        <f t="shared" si="5"/>
        <v>0</v>
      </c>
      <c r="BH14" s="477">
        <f t="shared" si="5"/>
        <v>21.545652224000001</v>
      </c>
      <c r="BI14" s="477">
        <f t="shared" si="5"/>
        <v>80.09</v>
      </c>
      <c r="BJ14" s="477">
        <f t="shared" si="5"/>
        <v>953.47</v>
      </c>
      <c r="BK14" s="477">
        <f t="shared" si="5"/>
        <v>190.50959900000001</v>
      </c>
      <c r="BL14" s="477">
        <f t="shared" si="5"/>
        <v>254.08903300000003</v>
      </c>
      <c r="BM14" s="477">
        <f t="shared" si="5"/>
        <v>70.107532431999999</v>
      </c>
      <c r="BN14" s="477">
        <f t="shared" si="5"/>
        <v>93.504764144000006</v>
      </c>
      <c r="BO14" s="477">
        <f t="shared" si="5"/>
        <v>98.342290000000006</v>
      </c>
      <c r="BP14" s="477">
        <f t="shared" si="5"/>
        <v>0</v>
      </c>
      <c r="BQ14" s="477">
        <f t="shared" si="5"/>
        <v>706.55</v>
      </c>
      <c r="BR14" s="477">
        <f t="shared" si="5"/>
        <v>1660.02</v>
      </c>
      <c r="BS14" s="477">
        <f t="shared" si="5"/>
        <v>288.66000000000003</v>
      </c>
      <c r="BT14" s="477">
        <f t="shared" si="5"/>
        <v>346.26</v>
      </c>
      <c r="BU14" s="477">
        <f t="shared" si="5"/>
        <v>272.96300616000002</v>
      </c>
      <c r="BV14" s="477">
        <f t="shared" si="5"/>
        <v>42.322344999999999</v>
      </c>
      <c r="BW14" s="477">
        <f t="shared" si="5"/>
        <v>315.28535116</v>
      </c>
      <c r="BX14" s="477">
        <f t="shared" si="5"/>
        <v>950.20535116000008</v>
      </c>
      <c r="BY14" s="477">
        <f>SUBTOTAL(9,BY13)</f>
        <v>4872.2637511599996</v>
      </c>
      <c r="BZ14" s="477">
        <f>SUBTOTAL(9,BZ13)</f>
        <v>706.55</v>
      </c>
      <c r="CA14" s="477">
        <f>SUBTOTAL(9,CA13)</f>
        <v>5578.8137511599998</v>
      </c>
      <c r="CB14" s="479"/>
    </row>
    <row r="15" spans="1:80" s="450" customFormat="1" ht="15.75" customHeight="1">
      <c r="A15" s="435">
        <v>1</v>
      </c>
      <c r="B15" s="435">
        <v>1</v>
      </c>
      <c r="C15" s="435" t="s">
        <v>3244</v>
      </c>
      <c r="D15" s="436">
        <f>VLOOKUP(C15,ISS!A:B,2,0)</f>
        <v>3.5000000000000003E-2</v>
      </c>
      <c r="E15" s="437">
        <f>IF(D15=2%,5.99%,IF(D15=2.5%,6.55%,IF(D15=3%,7.12%,IF(D15=3.5%,7.7%,IF(D15=4%,8.28%,IF(D15=5%,9.46%))))))</f>
        <v>7.6999999999999999E-2</v>
      </c>
      <c r="F15" s="438">
        <v>3</v>
      </c>
      <c r="G15" s="439">
        <v>12343</v>
      </c>
      <c r="H15" s="440" t="s">
        <v>3934</v>
      </c>
      <c r="I15" s="435" t="s">
        <v>3849</v>
      </c>
      <c r="J15" s="102" t="s">
        <v>3521</v>
      </c>
      <c r="K15" s="435" t="str">
        <f t="shared" si="3"/>
        <v>BarbacenaVIGILANTE ARMADO - 220 H</v>
      </c>
      <c r="L15" s="441" t="s">
        <v>3875</v>
      </c>
      <c r="M15" s="441"/>
      <c r="N15" s="102"/>
      <c r="O15" s="102"/>
      <c r="P15" s="102"/>
      <c r="Q15" s="442">
        <f>VLOOKUP('BANCO DADOS-CUSTO TOTAL'!$K15,PARAMETROS!$E:AX,3,0)</f>
        <v>1602.86</v>
      </c>
      <c r="R15" s="442">
        <f>VLOOKUP('BANCO DADOS-CUSTO TOTAL'!$K15,PARAMETROS!$E:AY,4,0)</f>
        <v>0</v>
      </c>
      <c r="S15" s="442">
        <f>VLOOKUP('BANCO DADOS-CUSTO TOTAL'!$K15,PARAMETROS!$E:AZ,5,0)</f>
        <v>480.85799999999995</v>
      </c>
      <c r="T15" s="442">
        <f>VLOOKUP('BANCO DADOS-CUSTO TOTAL'!$K15,PARAMETROS!$E:BA,6,0)</f>
        <v>0</v>
      </c>
      <c r="U15" s="442">
        <f>VLOOKUP('BANCO DADOS-CUSTO TOTAL'!$K15,PARAMETROS!$E:BB,7,0)</f>
        <v>0</v>
      </c>
      <c r="V15" s="442">
        <f>VLOOKUP('BANCO DADOS-CUSTO TOTAL'!$K15,PARAMETROS!$E:BC,8,0)</f>
        <v>0</v>
      </c>
      <c r="W15" s="442">
        <f>VLOOKUP('BANCO DADOS-CUSTO TOTAL'!$K15,PARAMETROS!$E:BD,9,0)</f>
        <v>189.42890909090909</v>
      </c>
      <c r="X15" s="442">
        <f>VLOOKUP('BANCO DADOS-CUSTO TOTAL'!$K15,PARAMETROS!$E:BE,10,0)</f>
        <v>13.891453333333336</v>
      </c>
      <c r="Y15" s="443">
        <f>TRUNC(SUM(Q15:X15),2)</f>
        <v>2287.0300000000002</v>
      </c>
      <c r="Z15" s="457"/>
      <c r="AA15" s="444">
        <v>30</v>
      </c>
      <c r="AB15" s="445">
        <f>IF(J15="EFETIVO",IF(AND(L15="",M15=""),$M$5,IF(AND(L15&lt;&gt;"",M15&lt;&gt;"",MONTH(L15)=MONTH(M15),YEAR(L15)=YEAR(M15)),M15-L15+1,IF(AND(L15&lt;&gt;"",M15&lt;&gt;"",MONTH(L15)&lt;&gt;MONTH(M15)),DAY(M15),IF(AND(L15="",M15&lt;&gt;"",MONTH($H$5)=MONTH(M15),YEAR(M15)=YEAR($H$5)),M15-$K$5+1,IF(AND(L15&lt;&gt;"",M15="",MONTH($K$5)=MONTH(L15),YEAR($K$5)=YEAR(L15)),30-DAY(L15)+1,$M$5))))),0)</f>
        <v>30</v>
      </c>
      <c r="AC15" s="446">
        <f>(Y15/30)*(AA15-Z15)</f>
        <v>2287.0300000000002</v>
      </c>
      <c r="AD15" s="447">
        <f>Y15</f>
        <v>2287.0300000000002</v>
      </c>
      <c r="AE15" s="447">
        <f>IF(AND(J15="EFETIVO",N15="FÉRIAS"),AD15,IF(J15="EFETIVO",AC15,0))</f>
        <v>2287.0300000000002</v>
      </c>
      <c r="AF15" s="443">
        <f>IF(J15="EFETIVO",VLOOKUP(K15,PARAMETROS!$E:AX,11,0),0)</f>
        <v>112.9</v>
      </c>
      <c r="AG15" s="443">
        <f>VLOOKUP(H15,'VA E VT - APOIO.LIMPEZA'!F:AX,14,0)</f>
        <v>287.82</v>
      </c>
      <c r="AH15" s="443">
        <f>VLOOKUP($H15,'VA E VT - APOIO.LIMPEZA'!$F:AY,20,0)</f>
        <v>51.828400000000002</v>
      </c>
      <c r="AI15" s="443">
        <f>IF($J15="EFETIVO",VLOOKUP($K15,PARAMETROS!$E:BA,14,0),0)</f>
        <v>91.08</v>
      </c>
      <c r="AJ15" s="443">
        <f>IF($J15="EFETIVO",VLOOKUP($K15,PARAMETROS!$E:BB,15,0),0)</f>
        <v>17.03</v>
      </c>
      <c r="AK15" s="443"/>
      <c r="AL15" s="443"/>
      <c r="AM15" s="443"/>
      <c r="AN15" s="443"/>
      <c r="AO15" s="448">
        <f>SUM(AF15:AN15)</f>
        <v>560.65840000000003</v>
      </c>
      <c r="AP15" s="443">
        <f>IF($J15="EFETIVO",VLOOKUP($K15,PARAMETROS!$E:BH,20,0),0)</f>
        <v>62.37</v>
      </c>
      <c r="AQ15" s="446"/>
      <c r="AR15" s="443">
        <f>IF($J15="EFETIVO",VLOOKUP($K15,PARAMETROS!$E:BJ,22,0),0)</f>
        <v>58.53</v>
      </c>
      <c r="AS15" s="446"/>
      <c r="AT15" s="448">
        <f>(AP15+AQ15+AR15+AS15)</f>
        <v>120.9</v>
      </c>
      <c r="AU15" s="448">
        <f>$AU$10*AC15</f>
        <v>841.62704000000008</v>
      </c>
      <c r="AV15" s="448">
        <f t="shared" ref="AV15:BB15" si="6">IF($J15="EFETIVO",$Y15*AV$10,0)</f>
        <v>4.1166540000000005</v>
      </c>
      <c r="AW15" s="448">
        <f t="shared" si="6"/>
        <v>11.435150000000002</v>
      </c>
      <c r="AX15" s="448">
        <f t="shared" si="6"/>
        <v>0.91481200000000007</v>
      </c>
      <c r="AY15" s="448">
        <f t="shared" si="6"/>
        <v>0.45740600000000003</v>
      </c>
      <c r="AZ15" s="448">
        <f t="shared" si="6"/>
        <v>8.0046050000000015</v>
      </c>
      <c r="BA15" s="448">
        <f t="shared" si="6"/>
        <v>2.9456946400000006</v>
      </c>
      <c r="BB15" s="448">
        <f t="shared" si="6"/>
        <v>3.8879510000000002</v>
      </c>
      <c r="BC15" s="448">
        <f>TRUNC(SUM(AW15:BB15),2)</f>
        <v>27.64</v>
      </c>
      <c r="BD15" s="448">
        <f>IF($J15="EFETIVO",$Y15*BD$10,0)</f>
        <v>31.789717</v>
      </c>
      <c r="BE15" s="448">
        <f>IF($J15="EFETIVO",$Y15*BE$10,0)</f>
        <v>19.211052000000002</v>
      </c>
      <c r="BF15" s="448">
        <f>IF($J15="EFETIVO",$Y15*BF$10,0)</f>
        <v>7.5471990000000009</v>
      </c>
      <c r="BG15" s="448">
        <f>IF($J15="EFETIVO",$Y15*BG$10,0)</f>
        <v>0</v>
      </c>
      <c r="BH15" s="448">
        <f>IF($J15="EFETIVO",$Y15*BH$10,0)</f>
        <v>21.545652224000001</v>
      </c>
      <c r="BI15" s="448">
        <f>TRUNC(SUM(BD15:BH15),2)</f>
        <v>80.09</v>
      </c>
      <c r="BJ15" s="448">
        <f>TRUNC((BI15+BC15+AV15+AU15),2)</f>
        <v>953.47</v>
      </c>
      <c r="BK15" s="448">
        <f>IF($N15="FÉRIAS",$AD15*$BK$10,IF($AB15&gt;=15,$AD15*$BK$10,0))</f>
        <v>190.50959900000001</v>
      </c>
      <c r="BL15" s="448">
        <f>IF($N15="FÉRIAS",$AD15*$BL$10,IF($AB15&gt;=15,$AD15*$BL$10,0))</f>
        <v>254.08903300000003</v>
      </c>
      <c r="BM15" s="448">
        <f>$BM$10*BK15</f>
        <v>70.107532431999999</v>
      </c>
      <c r="BN15" s="448">
        <f>$BN$10*BL15</f>
        <v>93.504764144000006</v>
      </c>
      <c r="BO15" s="448">
        <f>$BO$10*AE15</f>
        <v>98.342290000000006</v>
      </c>
      <c r="BP15" s="448"/>
      <c r="BQ15" s="448">
        <f>TRUNC(SUM(BK15:BP15),2)</f>
        <v>706.55</v>
      </c>
      <c r="BR15" s="448">
        <f>TRUNC((BJ15+BQ15),2)</f>
        <v>1660.02</v>
      </c>
      <c r="BS15" s="448">
        <f>IF($J15="EFETIVO",BS$10,0)</f>
        <v>288.66000000000003</v>
      </c>
      <c r="BT15" s="448">
        <f>IF($J15="EFETIVO",BT$10,0)</f>
        <v>346.26</v>
      </c>
      <c r="BU15" s="448">
        <f>((AC15+AO15+AT15+BJ15+BS15+BT15)*E15)</f>
        <v>350.88733680000001</v>
      </c>
      <c r="BV15" s="448">
        <f>BQ15*E15</f>
        <v>54.404349999999994</v>
      </c>
      <c r="BW15" s="448">
        <f>SUM(BU15:BV15)</f>
        <v>405.29168679999998</v>
      </c>
      <c r="BX15" s="448">
        <f>BS15+BT15+BW15</f>
        <v>1040.2116868000001</v>
      </c>
      <c r="BY15" s="448">
        <f>(AC15+AO15+AT15+BJ15+BX15)</f>
        <v>4962.2700868000002</v>
      </c>
      <c r="BZ15" s="448">
        <f>BQ15</f>
        <v>706.55</v>
      </c>
      <c r="CA15" s="448">
        <f>BY15+BZ15</f>
        <v>5668.8200868000004</v>
      </c>
      <c r="CB15" s="449"/>
    </row>
    <row r="16" spans="1:80" s="480" customFormat="1" ht="15.75" customHeight="1">
      <c r="A16" s="462"/>
      <c r="B16" s="462"/>
      <c r="C16" s="462" t="s">
        <v>3880</v>
      </c>
      <c r="D16" s="463"/>
      <c r="E16" s="464"/>
      <c r="F16" s="465"/>
      <c r="G16" s="466"/>
      <c r="H16" s="467"/>
      <c r="I16" s="462"/>
      <c r="J16" s="468"/>
      <c r="K16" s="462"/>
      <c r="L16" s="469"/>
      <c r="M16" s="469"/>
      <c r="N16" s="468"/>
      <c r="O16" s="468"/>
      <c r="P16" s="468"/>
      <c r="Q16" s="470"/>
      <c r="R16" s="470"/>
      <c r="S16" s="470"/>
      <c r="T16" s="470"/>
      <c r="U16" s="470"/>
      <c r="V16" s="470"/>
      <c r="W16" s="470"/>
      <c r="X16" s="470"/>
      <c r="Y16" s="471"/>
      <c r="Z16" s="472"/>
      <c r="AA16" s="473"/>
      <c r="AB16" s="474"/>
      <c r="AC16" s="475"/>
      <c r="AD16" s="476"/>
      <c r="AE16" s="476"/>
      <c r="AF16" s="478">
        <f t="shared" ref="AF16:BX16" si="7">SUBTOTAL(9,AF15)</f>
        <v>112.9</v>
      </c>
      <c r="AG16" s="477">
        <f t="shared" si="7"/>
        <v>287.82</v>
      </c>
      <c r="AH16" s="477">
        <f t="shared" si="7"/>
        <v>51.828400000000002</v>
      </c>
      <c r="AI16" s="477">
        <f t="shared" si="7"/>
        <v>91.08</v>
      </c>
      <c r="AJ16" s="477">
        <f t="shared" si="7"/>
        <v>17.03</v>
      </c>
      <c r="AK16" s="477">
        <f t="shared" si="7"/>
        <v>0</v>
      </c>
      <c r="AL16" s="477">
        <f t="shared" si="7"/>
        <v>0</v>
      </c>
      <c r="AM16" s="477">
        <f t="shared" si="7"/>
        <v>0</v>
      </c>
      <c r="AN16" s="477">
        <f t="shared" si="7"/>
        <v>0</v>
      </c>
      <c r="AO16" s="477">
        <f t="shared" si="7"/>
        <v>560.65840000000003</v>
      </c>
      <c r="AP16" s="477">
        <f t="shared" si="7"/>
        <v>62.37</v>
      </c>
      <c r="AQ16" s="477">
        <f t="shared" si="7"/>
        <v>0</v>
      </c>
      <c r="AR16" s="477">
        <f t="shared" si="7"/>
        <v>58.53</v>
      </c>
      <c r="AS16" s="477">
        <f t="shared" si="7"/>
        <v>0</v>
      </c>
      <c r="AT16" s="477">
        <f t="shared" si="7"/>
        <v>120.9</v>
      </c>
      <c r="AU16" s="477">
        <f t="shared" si="7"/>
        <v>841.62704000000008</v>
      </c>
      <c r="AV16" s="477">
        <f t="shared" si="7"/>
        <v>4.1166540000000005</v>
      </c>
      <c r="AW16" s="477">
        <f t="shared" si="7"/>
        <v>11.435150000000002</v>
      </c>
      <c r="AX16" s="477">
        <f t="shared" si="7"/>
        <v>0.91481200000000007</v>
      </c>
      <c r="AY16" s="477">
        <f t="shared" si="7"/>
        <v>0.45740600000000003</v>
      </c>
      <c r="AZ16" s="477">
        <f t="shared" si="7"/>
        <v>8.0046050000000015</v>
      </c>
      <c r="BA16" s="477">
        <f t="shared" si="7"/>
        <v>2.9456946400000006</v>
      </c>
      <c r="BB16" s="477">
        <f t="shared" si="7"/>
        <v>3.8879510000000002</v>
      </c>
      <c r="BC16" s="477">
        <f t="shared" si="7"/>
        <v>27.64</v>
      </c>
      <c r="BD16" s="477">
        <f t="shared" si="7"/>
        <v>31.789717</v>
      </c>
      <c r="BE16" s="477">
        <f t="shared" si="7"/>
        <v>19.211052000000002</v>
      </c>
      <c r="BF16" s="477">
        <f t="shared" si="7"/>
        <v>7.5471990000000009</v>
      </c>
      <c r="BG16" s="477">
        <f t="shared" si="7"/>
        <v>0</v>
      </c>
      <c r="BH16" s="477">
        <f t="shared" si="7"/>
        <v>21.545652224000001</v>
      </c>
      <c r="BI16" s="477">
        <f t="shared" si="7"/>
        <v>80.09</v>
      </c>
      <c r="BJ16" s="477">
        <f t="shared" si="7"/>
        <v>953.47</v>
      </c>
      <c r="BK16" s="477">
        <f t="shared" si="7"/>
        <v>190.50959900000001</v>
      </c>
      <c r="BL16" s="477">
        <f t="shared" si="7"/>
        <v>254.08903300000003</v>
      </c>
      <c r="BM16" s="477">
        <f t="shared" si="7"/>
        <v>70.107532431999999</v>
      </c>
      <c r="BN16" s="477">
        <f t="shared" si="7"/>
        <v>93.504764144000006</v>
      </c>
      <c r="BO16" s="477">
        <f t="shared" si="7"/>
        <v>98.342290000000006</v>
      </c>
      <c r="BP16" s="477">
        <f t="shared" si="7"/>
        <v>0</v>
      </c>
      <c r="BQ16" s="477">
        <f t="shared" si="7"/>
        <v>706.55</v>
      </c>
      <c r="BR16" s="477">
        <f t="shared" si="7"/>
        <v>1660.02</v>
      </c>
      <c r="BS16" s="477">
        <f t="shared" si="7"/>
        <v>288.66000000000003</v>
      </c>
      <c r="BT16" s="477">
        <f t="shared" si="7"/>
        <v>346.26</v>
      </c>
      <c r="BU16" s="477">
        <f t="shared" si="7"/>
        <v>350.88733680000001</v>
      </c>
      <c r="BV16" s="477">
        <f t="shared" si="7"/>
        <v>54.404349999999994</v>
      </c>
      <c r="BW16" s="477">
        <f t="shared" si="7"/>
        <v>405.29168679999998</v>
      </c>
      <c r="BX16" s="477">
        <f t="shared" si="7"/>
        <v>1040.2116868000001</v>
      </c>
      <c r="BY16" s="477">
        <f>SUBTOTAL(9,BY15)</f>
        <v>4962.2700868000002</v>
      </c>
      <c r="BZ16" s="477">
        <f>SUBTOTAL(9,BZ15)</f>
        <v>706.55</v>
      </c>
      <c r="CA16" s="477">
        <f>SUBTOTAL(9,CA15)</f>
        <v>5668.8200868000004</v>
      </c>
      <c r="CB16" s="479"/>
    </row>
    <row r="17" spans="1:80" s="450" customFormat="1" ht="15.75" customHeight="1">
      <c r="A17" s="435">
        <v>1</v>
      </c>
      <c r="B17" s="435">
        <v>1</v>
      </c>
      <c r="C17" s="435" t="s">
        <v>3287</v>
      </c>
      <c r="D17" s="436">
        <f>VLOOKUP(C17,ISS!A:B,2,0)</f>
        <v>0.05</v>
      </c>
      <c r="E17" s="437">
        <f t="shared" ref="E17:E59" si="8">IF(D17=2%,5.99%,IF(D17=2.5%,6.55%,IF(D17=3%,7.12%,IF(D17=3.5%,7.7%,IF(D17=4%,8.28%,IF(D17=5%,9.46%))))))</f>
        <v>9.4600000000000004E-2</v>
      </c>
      <c r="F17" s="438">
        <v>4</v>
      </c>
      <c r="G17" s="439">
        <v>12344</v>
      </c>
      <c r="H17" s="440" t="s">
        <v>3935</v>
      </c>
      <c r="I17" s="435" t="s">
        <v>3849</v>
      </c>
      <c r="J17" s="102" t="s">
        <v>3521</v>
      </c>
      <c r="K17" s="435" t="str">
        <f t="shared" si="3"/>
        <v>Belo HorizonteVIGILANTE ARMADO - 220 H</v>
      </c>
      <c r="L17" s="441" t="s">
        <v>3882</v>
      </c>
      <c r="M17" s="441"/>
      <c r="N17" s="102"/>
      <c r="O17" s="102"/>
      <c r="P17" s="102"/>
      <c r="Q17" s="442">
        <f>VLOOKUP('BANCO DADOS-CUSTO TOTAL'!$K17,PARAMETROS!$E:AX,3,0)</f>
        <v>1602.86</v>
      </c>
      <c r="R17" s="442">
        <f>VLOOKUP('BANCO DADOS-CUSTO TOTAL'!$K17,PARAMETROS!$E:AY,4,0)</f>
        <v>0</v>
      </c>
      <c r="S17" s="442">
        <f>VLOOKUP('BANCO DADOS-CUSTO TOTAL'!$K17,PARAMETROS!$E:AZ,5,0)</f>
        <v>480.85799999999995</v>
      </c>
      <c r="T17" s="442">
        <f>VLOOKUP('BANCO DADOS-CUSTO TOTAL'!$K17,PARAMETROS!$E:BA,6,0)</f>
        <v>0</v>
      </c>
      <c r="U17" s="442">
        <f>VLOOKUP('BANCO DADOS-CUSTO TOTAL'!$K17,PARAMETROS!$E:BB,7,0)</f>
        <v>0</v>
      </c>
      <c r="V17" s="442">
        <f>VLOOKUP('BANCO DADOS-CUSTO TOTAL'!$K17,PARAMETROS!$E:BC,8,0)</f>
        <v>0</v>
      </c>
      <c r="W17" s="442">
        <f>VLOOKUP('BANCO DADOS-CUSTO TOTAL'!$K17,PARAMETROS!$E:BD,9,0)</f>
        <v>189.42890909090909</v>
      </c>
      <c r="X17" s="442">
        <f>VLOOKUP('BANCO DADOS-CUSTO TOTAL'!$K17,PARAMETROS!$E:BE,10,0)</f>
        <v>13.891453333333336</v>
      </c>
      <c r="Y17" s="443">
        <f t="shared" ref="Y17:Y59" si="9">TRUNC(SUM(Q17:X17),2)</f>
        <v>2287.0300000000002</v>
      </c>
      <c r="Z17" s="456"/>
      <c r="AA17" s="444">
        <v>30</v>
      </c>
      <c r="AB17" s="445">
        <f>IF(J17="EFETIVO",IF(AND(L17="",M17=""),$M$5,IF(AND(L17&lt;&gt;"",M17&lt;&gt;"",MONTH(L17)=MONTH(M17),YEAR(L17)=YEAR(M17)),M17-L17+1,IF(AND(L17&lt;&gt;"",M17&lt;&gt;"",MONTH(L17)&lt;&gt;MONTH(M17)),DAY(M17),IF(AND(L17="",M17&lt;&gt;"",MONTH($H$5)=MONTH(M17),YEAR(M17)=YEAR($H$5)),M17-$K$5+1,IF(AND(L17&lt;&gt;"",M17="",MONTH($K$5)=MONTH(L17),YEAR($K$5)=YEAR(L17)),30-DAY(L17)+1,$M$5))))),0)</f>
        <v>30</v>
      </c>
      <c r="AC17" s="446">
        <f>(Y17/30)*(AA17-Z17)</f>
        <v>2287.0300000000002</v>
      </c>
      <c r="AD17" s="447">
        <f>Y17</f>
        <v>2287.0300000000002</v>
      </c>
      <c r="AE17" s="447">
        <f>IF(AND(J17="EFETIVO",N17="FÉRIAS"),AD17,IF(J17="EFETIVO",AC17,0))</f>
        <v>2287.0300000000002</v>
      </c>
      <c r="AF17" s="443">
        <f>IF(J17="EFETIVO",VLOOKUP(K17,PARAMETROS!$E:AX,11,0),0)</f>
        <v>112.9</v>
      </c>
      <c r="AG17" s="443">
        <f>VLOOKUP(H17,'VA E VT - APOIO.LIMPEZA'!F:AX,14,0)</f>
        <v>287.82</v>
      </c>
      <c r="AH17" s="443">
        <f>VLOOKUP($H17,'VA E VT - APOIO.LIMPEZA'!$F:AY,20,0)</f>
        <v>157.82839999999999</v>
      </c>
      <c r="AI17" s="443">
        <f>IF($J17="EFETIVO",VLOOKUP($K17,PARAMETROS!$E:BA,14,0),0)</f>
        <v>91.08</v>
      </c>
      <c r="AJ17" s="443">
        <f>IF($J17="EFETIVO",VLOOKUP($K17,PARAMETROS!$E:BB,15,0),0)</f>
        <v>17.03</v>
      </c>
      <c r="AK17" s="443"/>
      <c r="AL17" s="443"/>
      <c r="AM17" s="443"/>
      <c r="AN17" s="443"/>
      <c r="AO17" s="448">
        <f t="shared" ref="AO17:AO59" si="10">SUM(AF17:AN17)</f>
        <v>666.65840000000003</v>
      </c>
      <c r="AP17" s="443">
        <f>IF($J17="EFETIVO",VLOOKUP($K17,PARAMETROS!$E:BH,20,0),0)</f>
        <v>62.37</v>
      </c>
      <c r="AQ17" s="446"/>
      <c r="AR17" s="443">
        <f>IF($J17="EFETIVO",VLOOKUP($K17,PARAMETROS!$E:BJ,22,0),0)</f>
        <v>58.53</v>
      </c>
      <c r="AS17" s="446"/>
      <c r="AT17" s="448">
        <f t="shared" ref="AT17:AT59" si="11">(AP17+AQ17+AR17+AS17)</f>
        <v>120.9</v>
      </c>
      <c r="AU17" s="448">
        <f t="shared" ref="AU17:AU59" si="12">$AU$10*AC17</f>
        <v>841.62704000000008</v>
      </c>
      <c r="AV17" s="448">
        <f t="shared" ref="AV17:BB53" si="13">IF($J17="EFETIVO",$Y17*AV$10,0)</f>
        <v>4.1166540000000005</v>
      </c>
      <c r="AW17" s="448">
        <f t="shared" si="13"/>
        <v>11.435150000000002</v>
      </c>
      <c r="AX17" s="448">
        <f t="shared" si="13"/>
        <v>0.91481200000000007</v>
      </c>
      <c r="AY17" s="448">
        <f t="shared" si="13"/>
        <v>0.45740600000000003</v>
      </c>
      <c r="AZ17" s="448">
        <f t="shared" si="13"/>
        <v>8.0046050000000015</v>
      </c>
      <c r="BA17" s="448">
        <f t="shared" si="13"/>
        <v>2.9456946400000006</v>
      </c>
      <c r="BB17" s="448">
        <f t="shared" si="13"/>
        <v>3.8879510000000002</v>
      </c>
      <c r="BC17" s="448">
        <f t="shared" ref="BC17:BC59" si="14">TRUNC(SUM(AW17:BB17),2)</f>
        <v>27.64</v>
      </c>
      <c r="BD17" s="448">
        <f t="shared" ref="BD17:BH61" si="15">IF($J17="EFETIVO",$Y17*BD$10,0)</f>
        <v>31.789717</v>
      </c>
      <c r="BE17" s="448">
        <f t="shared" si="15"/>
        <v>19.211052000000002</v>
      </c>
      <c r="BF17" s="448">
        <f t="shared" si="15"/>
        <v>7.5471990000000009</v>
      </c>
      <c r="BG17" s="448">
        <f t="shared" si="15"/>
        <v>0</v>
      </c>
      <c r="BH17" s="448">
        <f t="shared" si="15"/>
        <v>21.545652224000001</v>
      </c>
      <c r="BI17" s="448">
        <f t="shared" ref="BI17:BI59" si="16">TRUNC(SUM(BD17:BH17),2)</f>
        <v>80.09</v>
      </c>
      <c r="BJ17" s="448">
        <f t="shared" ref="BJ17:BJ59" si="17">TRUNC((BI17+BC17+AV17+AU17),2)</f>
        <v>953.47</v>
      </c>
      <c r="BK17" s="448">
        <f t="shared" ref="BK17:BK80" si="18">IF($N17="FÉRIAS",$AD17*$BK$10,IF($AB17&gt;=15,$AD17*$BK$10,0))</f>
        <v>190.50959900000001</v>
      </c>
      <c r="BL17" s="448">
        <f t="shared" ref="BL17:BL80" si="19">IF($N17="FÉRIAS",$AD17*$BL$10,IF($AB17&gt;=15,$AD17*$BL$10,0))</f>
        <v>254.08903300000003</v>
      </c>
      <c r="BM17" s="448">
        <f t="shared" ref="BM17:BM59" si="20">$BM$10*BK17</f>
        <v>70.107532431999999</v>
      </c>
      <c r="BN17" s="448">
        <f t="shared" ref="BN17:BN59" si="21">$BN$10*BL17</f>
        <v>93.504764144000006</v>
      </c>
      <c r="BO17" s="448">
        <f t="shared" ref="BO17:BO59" si="22">$BO$10*AE17</f>
        <v>98.342290000000006</v>
      </c>
      <c r="BP17" s="448"/>
      <c r="BQ17" s="448">
        <f t="shared" ref="BQ17:BQ59" si="23">TRUNC(SUM(BK17:BP17),2)</f>
        <v>706.55</v>
      </c>
      <c r="BR17" s="448">
        <f t="shared" ref="BR17:BR59" si="24">TRUNC((BJ17+BQ17),2)</f>
        <v>1660.02</v>
      </c>
      <c r="BS17" s="448">
        <f t="shared" ref="BS17:BS59" si="25">IF($J17="EFETIVO",BS$10,0)</f>
        <v>288.66000000000003</v>
      </c>
      <c r="BT17" s="448">
        <f t="shared" ref="BT17:BT59" si="26">IF($J17="EFETIVO",BT$10,0)</f>
        <v>346.26</v>
      </c>
      <c r="BU17" s="448">
        <f t="shared" ref="BU17:BU59" si="27">((AC17+AO17+AT17+BJ17+BS17+BT17)*E17)</f>
        <v>441.11775664000004</v>
      </c>
      <c r="BV17" s="448">
        <f t="shared" ref="BV17:BV59" si="28">BQ17*E17</f>
        <v>66.83963</v>
      </c>
      <c r="BW17" s="448">
        <f t="shared" ref="BW17:BW59" si="29">SUM(BU17:BV17)</f>
        <v>507.95738664000004</v>
      </c>
      <c r="BX17" s="448">
        <f t="shared" ref="BX17:BX59" si="30">BS17+BT17+BW17</f>
        <v>1142.8773866400002</v>
      </c>
      <c r="BY17" s="448">
        <f t="shared" ref="BY17:BY59" si="31">(AC17+AO17+AT17+BJ17+BX17)</f>
        <v>5170.9357866400005</v>
      </c>
      <c r="BZ17" s="448">
        <f t="shared" ref="BZ17:BZ59" si="32">BQ17</f>
        <v>706.55</v>
      </c>
      <c r="CA17" s="448">
        <f t="shared" ref="CA17:CA59" si="33">BY17+BZ17</f>
        <v>5877.4857866400007</v>
      </c>
      <c r="CB17" s="449"/>
    </row>
    <row r="18" spans="1:80" s="450" customFormat="1" ht="15.75" customHeight="1">
      <c r="A18" s="435">
        <v>1</v>
      </c>
      <c r="B18" s="435">
        <v>1</v>
      </c>
      <c r="C18" s="435" t="s">
        <v>3287</v>
      </c>
      <c r="D18" s="436">
        <f>VLOOKUP(C18,ISS!A:B,2,0)</f>
        <v>0.05</v>
      </c>
      <c r="E18" s="437">
        <f t="shared" si="8"/>
        <v>9.4600000000000004E-2</v>
      </c>
      <c r="F18" s="438">
        <v>5</v>
      </c>
      <c r="G18" s="439">
        <v>12345</v>
      </c>
      <c r="H18" s="440" t="s">
        <v>3936</v>
      </c>
      <c r="I18" s="435" t="s">
        <v>3849</v>
      </c>
      <c r="J18" s="102" t="s">
        <v>3521</v>
      </c>
      <c r="K18" s="435" t="str">
        <f>CONCATENATE(C18,I18)</f>
        <v>Belo HorizonteVIGILANTE ARMADO - 220 H</v>
      </c>
      <c r="L18" s="441" t="s">
        <v>3882</v>
      </c>
      <c r="M18" s="441"/>
      <c r="N18" s="102"/>
      <c r="O18" s="102"/>
      <c r="P18" s="102"/>
      <c r="Q18" s="442">
        <f>VLOOKUP('BANCO DADOS-CUSTO TOTAL'!$K18,PARAMETROS!$E:AX,3,0)</f>
        <v>1602.86</v>
      </c>
      <c r="R18" s="442">
        <f>VLOOKUP('BANCO DADOS-CUSTO TOTAL'!$K18,PARAMETROS!$E:AY,4,0)</f>
        <v>0</v>
      </c>
      <c r="S18" s="442">
        <f>VLOOKUP('BANCO DADOS-CUSTO TOTAL'!$K18,PARAMETROS!$E:AZ,5,0)</f>
        <v>480.85799999999995</v>
      </c>
      <c r="T18" s="442">
        <f>VLOOKUP('BANCO DADOS-CUSTO TOTAL'!$K18,PARAMETROS!$E:BA,6,0)</f>
        <v>0</v>
      </c>
      <c r="U18" s="442">
        <f>VLOOKUP('BANCO DADOS-CUSTO TOTAL'!$K18,PARAMETROS!$E:BB,7,0)</f>
        <v>0</v>
      </c>
      <c r="V18" s="442">
        <f>VLOOKUP('BANCO DADOS-CUSTO TOTAL'!$K18,PARAMETROS!$E:BC,8,0)</f>
        <v>0</v>
      </c>
      <c r="W18" s="442">
        <f>VLOOKUP('BANCO DADOS-CUSTO TOTAL'!$K18,PARAMETROS!$E:BD,9,0)</f>
        <v>189.42890909090909</v>
      </c>
      <c r="X18" s="442">
        <f>VLOOKUP('BANCO DADOS-CUSTO TOTAL'!$K18,PARAMETROS!$E:BE,10,0)</f>
        <v>13.891453333333336</v>
      </c>
      <c r="Y18" s="443">
        <f t="shared" si="9"/>
        <v>2287.0300000000002</v>
      </c>
      <c r="Z18" s="456"/>
      <c r="AA18" s="444">
        <v>30</v>
      </c>
      <c r="AB18" s="445">
        <f t="shared" ref="AB18:AB59" si="34">IF(J18="EFETIVO",IF(AND(L18="",M18=""),$M$5,IF(AND(L18&lt;&gt;"",M18&lt;&gt;"",MONTH(L18)=MONTH(M18),YEAR(L18)=YEAR(M18)),M18-L18+1,IF(AND(L18&lt;&gt;"",M18&lt;&gt;"",MONTH(L18)&lt;&gt;MONTH(M18)),DAY(M18),IF(AND(L18="",M18&lt;&gt;"",MONTH($H$5)=MONTH(M18),YEAR(M18)=YEAR($H$5)),M18-$K$5+1,IF(AND(L18&lt;&gt;"",M18="",MONTH($K$5)=MONTH(L18),YEAR($K$5)=YEAR(L18)),30-DAY(L18)+1,$M$5))))),0)</f>
        <v>30</v>
      </c>
      <c r="AC18" s="446">
        <f t="shared" ref="AC18:AC59" si="35">(Y18/30)*(AA18-Z18)</f>
        <v>2287.0300000000002</v>
      </c>
      <c r="AD18" s="447">
        <f t="shared" ref="AD18:AD59" si="36">Y18</f>
        <v>2287.0300000000002</v>
      </c>
      <c r="AE18" s="447">
        <f t="shared" ref="AE18:AE59" si="37">IF(AND(J18="EFETIVO",N18="FÉRIAS"),AD18,IF(J18="EFETIVO",AC18,0))</f>
        <v>2287.0300000000002</v>
      </c>
      <c r="AF18" s="443">
        <f>IF(J18="EFETIVO",VLOOKUP(K18,PARAMETROS!$E:AX,11,0),0)</f>
        <v>112.9</v>
      </c>
      <c r="AG18" s="443">
        <f>VLOOKUP(H18,'VA E VT - APOIO.LIMPEZA'!F:AX,14,0)</f>
        <v>287.82</v>
      </c>
      <c r="AH18" s="443">
        <f>VLOOKUP($H18,'VA E VT - APOIO.LIMPEZA'!$F:AY,20,0)</f>
        <v>157.82839999999999</v>
      </c>
      <c r="AI18" s="443">
        <f>IF($J18="EFETIVO",VLOOKUP($K18,PARAMETROS!$E:BA,14,0),0)</f>
        <v>91.08</v>
      </c>
      <c r="AJ18" s="443">
        <f>IF($J18="EFETIVO",VLOOKUP($K18,PARAMETROS!$E:BB,15,0),0)</f>
        <v>17.03</v>
      </c>
      <c r="AK18" s="443"/>
      <c r="AL18" s="443"/>
      <c r="AM18" s="443"/>
      <c r="AN18" s="443"/>
      <c r="AO18" s="448">
        <f t="shared" si="10"/>
        <v>666.65840000000003</v>
      </c>
      <c r="AP18" s="443">
        <f>IF($J18="EFETIVO",VLOOKUP($K18,PARAMETROS!$E:BH,20,0),0)</f>
        <v>62.37</v>
      </c>
      <c r="AQ18" s="446"/>
      <c r="AR18" s="443">
        <f>IF($J18="EFETIVO",VLOOKUP($K18,PARAMETROS!$E:BJ,22,0),0)</f>
        <v>58.53</v>
      </c>
      <c r="AS18" s="446"/>
      <c r="AT18" s="448">
        <f t="shared" si="11"/>
        <v>120.9</v>
      </c>
      <c r="AU18" s="448">
        <f t="shared" si="12"/>
        <v>841.62704000000008</v>
      </c>
      <c r="AV18" s="448">
        <f t="shared" si="13"/>
        <v>4.1166540000000005</v>
      </c>
      <c r="AW18" s="448">
        <f t="shared" si="13"/>
        <v>11.435150000000002</v>
      </c>
      <c r="AX18" s="448">
        <f t="shared" si="13"/>
        <v>0.91481200000000007</v>
      </c>
      <c r="AY18" s="448">
        <f t="shared" si="13"/>
        <v>0.45740600000000003</v>
      </c>
      <c r="AZ18" s="448">
        <f t="shared" si="13"/>
        <v>8.0046050000000015</v>
      </c>
      <c r="BA18" s="448">
        <f t="shared" si="13"/>
        <v>2.9456946400000006</v>
      </c>
      <c r="BB18" s="448">
        <f t="shared" si="13"/>
        <v>3.8879510000000002</v>
      </c>
      <c r="BC18" s="448">
        <f t="shared" si="14"/>
        <v>27.64</v>
      </c>
      <c r="BD18" s="448">
        <f t="shared" si="15"/>
        <v>31.789717</v>
      </c>
      <c r="BE18" s="448">
        <f t="shared" si="15"/>
        <v>19.211052000000002</v>
      </c>
      <c r="BF18" s="448">
        <f t="shared" si="15"/>
        <v>7.5471990000000009</v>
      </c>
      <c r="BG18" s="448">
        <f t="shared" si="15"/>
        <v>0</v>
      </c>
      <c r="BH18" s="448">
        <f t="shared" si="15"/>
        <v>21.545652224000001</v>
      </c>
      <c r="BI18" s="448">
        <f t="shared" si="16"/>
        <v>80.09</v>
      </c>
      <c r="BJ18" s="448">
        <f t="shared" si="17"/>
        <v>953.47</v>
      </c>
      <c r="BK18" s="448">
        <f t="shared" si="18"/>
        <v>190.50959900000001</v>
      </c>
      <c r="BL18" s="448">
        <f t="shared" si="19"/>
        <v>254.08903300000003</v>
      </c>
      <c r="BM18" s="448">
        <f t="shared" si="20"/>
        <v>70.107532431999999</v>
      </c>
      <c r="BN18" s="448">
        <f t="shared" si="21"/>
        <v>93.504764144000006</v>
      </c>
      <c r="BO18" s="448">
        <f t="shared" si="22"/>
        <v>98.342290000000006</v>
      </c>
      <c r="BP18" s="448"/>
      <c r="BQ18" s="448">
        <f t="shared" si="23"/>
        <v>706.55</v>
      </c>
      <c r="BR18" s="448">
        <f t="shared" si="24"/>
        <v>1660.02</v>
      </c>
      <c r="BS18" s="448">
        <f t="shared" si="25"/>
        <v>288.66000000000003</v>
      </c>
      <c r="BT18" s="448">
        <f t="shared" si="26"/>
        <v>346.26</v>
      </c>
      <c r="BU18" s="448">
        <f t="shared" si="27"/>
        <v>441.11775664000004</v>
      </c>
      <c r="BV18" s="448">
        <f t="shared" si="28"/>
        <v>66.83963</v>
      </c>
      <c r="BW18" s="448">
        <f t="shared" si="29"/>
        <v>507.95738664000004</v>
      </c>
      <c r="BX18" s="448">
        <f t="shared" si="30"/>
        <v>1142.8773866400002</v>
      </c>
      <c r="BY18" s="448">
        <f t="shared" si="31"/>
        <v>5170.9357866400005</v>
      </c>
      <c r="BZ18" s="448">
        <f t="shared" si="32"/>
        <v>706.55</v>
      </c>
      <c r="CA18" s="448">
        <f t="shared" si="33"/>
        <v>5877.4857866400007</v>
      </c>
      <c r="CB18" s="449"/>
    </row>
    <row r="19" spans="1:80" s="450" customFormat="1" ht="15.75" customHeight="1">
      <c r="A19" s="435">
        <v>1</v>
      </c>
      <c r="B19" s="435">
        <v>1</v>
      </c>
      <c r="C19" s="435" t="s">
        <v>3287</v>
      </c>
      <c r="D19" s="436">
        <f>VLOOKUP(C19,ISS!A:B,2,0)</f>
        <v>0.05</v>
      </c>
      <c r="E19" s="437">
        <f t="shared" si="8"/>
        <v>9.4600000000000004E-2</v>
      </c>
      <c r="F19" s="438">
        <v>6</v>
      </c>
      <c r="G19" s="439">
        <v>12346</v>
      </c>
      <c r="H19" s="440" t="s">
        <v>3937</v>
      </c>
      <c r="I19" s="435" t="s">
        <v>3849</v>
      </c>
      <c r="J19" s="102" t="s">
        <v>3521</v>
      </c>
      <c r="K19" s="435" t="str">
        <f>CONCATENATE(C19,I19)</f>
        <v>Belo HorizonteVIGILANTE ARMADO - 220 H</v>
      </c>
      <c r="L19" s="441" t="s">
        <v>3882</v>
      </c>
      <c r="M19" s="441"/>
      <c r="N19" s="102"/>
      <c r="O19" s="102"/>
      <c r="P19" s="102"/>
      <c r="Q19" s="442">
        <f>VLOOKUP('BANCO DADOS-CUSTO TOTAL'!$K19,PARAMETROS!$E:AX,3,0)</f>
        <v>1602.86</v>
      </c>
      <c r="R19" s="442">
        <f>VLOOKUP('BANCO DADOS-CUSTO TOTAL'!$K19,PARAMETROS!$E:AY,4,0)</f>
        <v>0</v>
      </c>
      <c r="S19" s="442">
        <f>VLOOKUP('BANCO DADOS-CUSTO TOTAL'!$K19,PARAMETROS!$E:AZ,5,0)</f>
        <v>480.85799999999995</v>
      </c>
      <c r="T19" s="442">
        <f>VLOOKUP('BANCO DADOS-CUSTO TOTAL'!$K19,PARAMETROS!$E:BA,6,0)</f>
        <v>0</v>
      </c>
      <c r="U19" s="442">
        <f>VLOOKUP('BANCO DADOS-CUSTO TOTAL'!$K19,PARAMETROS!$E:BB,7,0)</f>
        <v>0</v>
      </c>
      <c r="V19" s="442">
        <f>VLOOKUP('BANCO DADOS-CUSTO TOTAL'!$K19,PARAMETROS!$E:BC,8,0)</f>
        <v>0</v>
      </c>
      <c r="W19" s="442">
        <f>VLOOKUP('BANCO DADOS-CUSTO TOTAL'!$K19,PARAMETROS!$E:BD,9,0)</f>
        <v>189.42890909090909</v>
      </c>
      <c r="X19" s="442">
        <f>VLOOKUP('BANCO DADOS-CUSTO TOTAL'!$K19,PARAMETROS!$E:BE,10,0)</f>
        <v>13.891453333333336</v>
      </c>
      <c r="Y19" s="443">
        <f t="shared" si="9"/>
        <v>2287.0300000000002</v>
      </c>
      <c r="Z19" s="456"/>
      <c r="AA19" s="444">
        <v>30</v>
      </c>
      <c r="AB19" s="445">
        <f t="shared" si="34"/>
        <v>30</v>
      </c>
      <c r="AC19" s="446">
        <f t="shared" si="35"/>
        <v>2287.0300000000002</v>
      </c>
      <c r="AD19" s="447">
        <f t="shared" si="36"/>
        <v>2287.0300000000002</v>
      </c>
      <c r="AE19" s="447">
        <f t="shared" si="37"/>
        <v>2287.0300000000002</v>
      </c>
      <c r="AF19" s="443">
        <f>IF(J19="EFETIVO",VLOOKUP(K19,PARAMETROS!$E:AX,11,0),0)</f>
        <v>112.9</v>
      </c>
      <c r="AG19" s="443">
        <f>VLOOKUP(H19,'VA E VT - APOIO.LIMPEZA'!F:AX,14,0)</f>
        <v>287.82</v>
      </c>
      <c r="AH19" s="443">
        <f>VLOOKUP($H19,'VA E VT - APOIO.LIMPEZA'!$F:AY,20,0)</f>
        <v>157.82839999999999</v>
      </c>
      <c r="AI19" s="443">
        <f>IF($J19="EFETIVO",VLOOKUP($K19,PARAMETROS!$E:BA,14,0),0)</f>
        <v>91.08</v>
      </c>
      <c r="AJ19" s="443">
        <f>IF($J19="EFETIVO",VLOOKUP($K19,PARAMETROS!$E:BB,15,0),0)</f>
        <v>17.03</v>
      </c>
      <c r="AK19" s="443"/>
      <c r="AL19" s="443"/>
      <c r="AM19" s="443"/>
      <c r="AN19" s="443"/>
      <c r="AO19" s="448">
        <f t="shared" si="10"/>
        <v>666.65840000000003</v>
      </c>
      <c r="AP19" s="443">
        <f>IF($J19="EFETIVO",VLOOKUP($K19,PARAMETROS!$E:BH,20,0),0)</f>
        <v>62.37</v>
      </c>
      <c r="AQ19" s="446"/>
      <c r="AR19" s="443">
        <f>IF($J19="EFETIVO",VLOOKUP($K19,PARAMETROS!$E:BJ,22,0),0)</f>
        <v>58.53</v>
      </c>
      <c r="AS19" s="446"/>
      <c r="AT19" s="448">
        <f t="shared" si="11"/>
        <v>120.9</v>
      </c>
      <c r="AU19" s="448">
        <f t="shared" si="12"/>
        <v>841.62704000000008</v>
      </c>
      <c r="AV19" s="448">
        <f t="shared" si="13"/>
        <v>4.1166540000000005</v>
      </c>
      <c r="AW19" s="448">
        <f t="shared" si="13"/>
        <v>11.435150000000002</v>
      </c>
      <c r="AX19" s="448">
        <f t="shared" si="13"/>
        <v>0.91481200000000007</v>
      </c>
      <c r="AY19" s="448">
        <f t="shared" si="13"/>
        <v>0.45740600000000003</v>
      </c>
      <c r="AZ19" s="448">
        <f t="shared" si="13"/>
        <v>8.0046050000000015</v>
      </c>
      <c r="BA19" s="448">
        <f t="shared" si="13"/>
        <v>2.9456946400000006</v>
      </c>
      <c r="BB19" s="448">
        <f t="shared" si="13"/>
        <v>3.8879510000000002</v>
      </c>
      <c r="BC19" s="448">
        <f t="shared" si="14"/>
        <v>27.64</v>
      </c>
      <c r="BD19" s="448">
        <f t="shared" si="15"/>
        <v>31.789717</v>
      </c>
      <c r="BE19" s="448">
        <f t="shared" si="15"/>
        <v>19.211052000000002</v>
      </c>
      <c r="BF19" s="448">
        <f t="shared" si="15"/>
        <v>7.5471990000000009</v>
      </c>
      <c r="BG19" s="448">
        <f t="shared" si="15"/>
        <v>0</v>
      </c>
      <c r="BH19" s="448">
        <f t="shared" si="15"/>
        <v>21.545652224000001</v>
      </c>
      <c r="BI19" s="448">
        <f t="shared" si="16"/>
        <v>80.09</v>
      </c>
      <c r="BJ19" s="448">
        <f t="shared" si="17"/>
        <v>953.47</v>
      </c>
      <c r="BK19" s="448">
        <f t="shared" si="18"/>
        <v>190.50959900000001</v>
      </c>
      <c r="BL19" s="448">
        <f t="shared" si="19"/>
        <v>254.08903300000003</v>
      </c>
      <c r="BM19" s="448">
        <f t="shared" si="20"/>
        <v>70.107532431999999</v>
      </c>
      <c r="BN19" s="448">
        <f t="shared" si="21"/>
        <v>93.504764144000006</v>
      </c>
      <c r="BO19" s="448">
        <f t="shared" si="22"/>
        <v>98.342290000000006</v>
      </c>
      <c r="BP19" s="448"/>
      <c r="BQ19" s="448">
        <f t="shared" si="23"/>
        <v>706.55</v>
      </c>
      <c r="BR19" s="448">
        <f t="shared" si="24"/>
        <v>1660.02</v>
      </c>
      <c r="BS19" s="448">
        <f t="shared" si="25"/>
        <v>288.66000000000003</v>
      </c>
      <c r="BT19" s="448">
        <f t="shared" si="26"/>
        <v>346.26</v>
      </c>
      <c r="BU19" s="448">
        <f t="shared" si="27"/>
        <v>441.11775664000004</v>
      </c>
      <c r="BV19" s="448">
        <f t="shared" si="28"/>
        <v>66.83963</v>
      </c>
      <c r="BW19" s="448">
        <f t="shared" si="29"/>
        <v>507.95738664000004</v>
      </c>
      <c r="BX19" s="448">
        <f t="shared" si="30"/>
        <v>1142.8773866400002</v>
      </c>
      <c r="BY19" s="448">
        <f t="shared" si="31"/>
        <v>5170.9357866400005</v>
      </c>
      <c r="BZ19" s="448">
        <f t="shared" si="32"/>
        <v>706.55</v>
      </c>
      <c r="CA19" s="448">
        <f t="shared" si="33"/>
        <v>5877.4857866400007</v>
      </c>
      <c r="CB19" s="449"/>
    </row>
    <row r="20" spans="1:80" s="450" customFormat="1" ht="15.75" customHeight="1">
      <c r="A20" s="435">
        <v>1</v>
      </c>
      <c r="B20" s="435">
        <v>1</v>
      </c>
      <c r="C20" s="435" t="s">
        <v>3287</v>
      </c>
      <c r="D20" s="436">
        <f>VLOOKUP(C20,ISS!A:B,2,0)</f>
        <v>0.05</v>
      </c>
      <c r="E20" s="437">
        <f t="shared" si="8"/>
        <v>9.4600000000000004E-2</v>
      </c>
      <c r="F20" s="438">
        <v>7</v>
      </c>
      <c r="G20" s="439">
        <v>12347</v>
      </c>
      <c r="H20" s="440" t="s">
        <v>3938</v>
      </c>
      <c r="I20" s="435" t="s">
        <v>3849</v>
      </c>
      <c r="J20" s="102" t="s">
        <v>3521</v>
      </c>
      <c r="K20" s="435" t="str">
        <f>CONCATENATE(C20,I20)</f>
        <v>Belo HorizonteVIGILANTE ARMADO - 220 H</v>
      </c>
      <c r="L20" s="441" t="s">
        <v>3882</v>
      </c>
      <c r="M20" s="441"/>
      <c r="N20" s="102"/>
      <c r="O20" s="102"/>
      <c r="P20" s="102"/>
      <c r="Q20" s="442">
        <f>VLOOKUP('BANCO DADOS-CUSTO TOTAL'!$K20,PARAMETROS!$E:AX,3,0)</f>
        <v>1602.86</v>
      </c>
      <c r="R20" s="442">
        <f>VLOOKUP('BANCO DADOS-CUSTO TOTAL'!$K20,PARAMETROS!$E:AY,4,0)</f>
        <v>0</v>
      </c>
      <c r="S20" s="442">
        <f>VLOOKUP('BANCO DADOS-CUSTO TOTAL'!$K20,PARAMETROS!$E:AZ,5,0)</f>
        <v>480.85799999999995</v>
      </c>
      <c r="T20" s="442">
        <f>VLOOKUP('BANCO DADOS-CUSTO TOTAL'!$K20,PARAMETROS!$E:BA,6,0)</f>
        <v>0</v>
      </c>
      <c r="U20" s="442">
        <f>VLOOKUP('BANCO DADOS-CUSTO TOTAL'!$K20,PARAMETROS!$E:BB,7,0)</f>
        <v>0</v>
      </c>
      <c r="V20" s="442">
        <f>VLOOKUP('BANCO DADOS-CUSTO TOTAL'!$K20,PARAMETROS!$E:BC,8,0)</f>
        <v>0</v>
      </c>
      <c r="W20" s="442">
        <f>VLOOKUP('BANCO DADOS-CUSTO TOTAL'!$K20,PARAMETROS!$E:BD,9,0)</f>
        <v>189.42890909090909</v>
      </c>
      <c r="X20" s="442">
        <f>VLOOKUP('BANCO DADOS-CUSTO TOTAL'!$K20,PARAMETROS!$E:BE,10,0)</f>
        <v>13.891453333333336</v>
      </c>
      <c r="Y20" s="443">
        <f t="shared" si="9"/>
        <v>2287.0300000000002</v>
      </c>
      <c r="Z20" s="456"/>
      <c r="AA20" s="444">
        <v>30</v>
      </c>
      <c r="AB20" s="445">
        <f t="shared" si="34"/>
        <v>30</v>
      </c>
      <c r="AC20" s="446">
        <f t="shared" si="35"/>
        <v>2287.0300000000002</v>
      </c>
      <c r="AD20" s="447">
        <f t="shared" si="36"/>
        <v>2287.0300000000002</v>
      </c>
      <c r="AE20" s="447">
        <f t="shared" si="37"/>
        <v>2287.0300000000002</v>
      </c>
      <c r="AF20" s="443">
        <f>IF(J20="EFETIVO",VLOOKUP(K20,PARAMETROS!$E:AX,11,0),0)</f>
        <v>112.9</v>
      </c>
      <c r="AG20" s="443">
        <f>VLOOKUP(H20,'VA E VT - APOIO.LIMPEZA'!F:AX,14,0)</f>
        <v>287.82</v>
      </c>
      <c r="AH20" s="443">
        <f>VLOOKUP($H20,'VA E VT - APOIO.LIMPEZA'!$F:AY,20,0)</f>
        <v>157.82839999999999</v>
      </c>
      <c r="AI20" s="443">
        <f>IF($J20="EFETIVO",VLOOKUP($K20,PARAMETROS!$E:BA,14,0),0)</f>
        <v>91.08</v>
      </c>
      <c r="AJ20" s="443">
        <f>IF($J20="EFETIVO",VLOOKUP($K20,PARAMETROS!$E:BB,15,0),0)</f>
        <v>17.03</v>
      </c>
      <c r="AK20" s="443"/>
      <c r="AL20" s="443"/>
      <c r="AM20" s="443"/>
      <c r="AN20" s="443"/>
      <c r="AO20" s="448">
        <f t="shared" si="10"/>
        <v>666.65840000000003</v>
      </c>
      <c r="AP20" s="443">
        <f>IF($J20="EFETIVO",VLOOKUP($K20,PARAMETROS!$E:BH,20,0),0)</f>
        <v>62.37</v>
      </c>
      <c r="AQ20" s="446"/>
      <c r="AR20" s="443">
        <f>IF($J20="EFETIVO",VLOOKUP($K20,PARAMETROS!$E:BJ,22,0),0)</f>
        <v>58.53</v>
      </c>
      <c r="AS20" s="446"/>
      <c r="AT20" s="448">
        <f t="shared" si="11"/>
        <v>120.9</v>
      </c>
      <c r="AU20" s="448">
        <f t="shared" si="12"/>
        <v>841.62704000000008</v>
      </c>
      <c r="AV20" s="448">
        <f t="shared" si="13"/>
        <v>4.1166540000000005</v>
      </c>
      <c r="AW20" s="448">
        <f t="shared" si="13"/>
        <v>11.435150000000002</v>
      </c>
      <c r="AX20" s="448">
        <f t="shared" si="13"/>
        <v>0.91481200000000007</v>
      </c>
      <c r="AY20" s="448">
        <f t="shared" si="13"/>
        <v>0.45740600000000003</v>
      </c>
      <c r="AZ20" s="448">
        <f t="shared" si="13"/>
        <v>8.0046050000000015</v>
      </c>
      <c r="BA20" s="448">
        <f t="shared" si="13"/>
        <v>2.9456946400000006</v>
      </c>
      <c r="BB20" s="448">
        <f t="shared" si="13"/>
        <v>3.8879510000000002</v>
      </c>
      <c r="BC20" s="448">
        <f t="shared" si="14"/>
        <v>27.64</v>
      </c>
      <c r="BD20" s="448">
        <f t="shared" si="15"/>
        <v>31.789717</v>
      </c>
      <c r="BE20" s="448">
        <f t="shared" si="15"/>
        <v>19.211052000000002</v>
      </c>
      <c r="BF20" s="448">
        <f t="shared" si="15"/>
        <v>7.5471990000000009</v>
      </c>
      <c r="BG20" s="448">
        <f t="shared" si="15"/>
        <v>0</v>
      </c>
      <c r="BH20" s="448">
        <f t="shared" si="15"/>
        <v>21.545652224000001</v>
      </c>
      <c r="BI20" s="448">
        <f t="shared" si="16"/>
        <v>80.09</v>
      </c>
      <c r="BJ20" s="448">
        <f t="shared" si="17"/>
        <v>953.47</v>
      </c>
      <c r="BK20" s="448">
        <f t="shared" si="18"/>
        <v>190.50959900000001</v>
      </c>
      <c r="BL20" s="448">
        <f t="shared" si="19"/>
        <v>254.08903300000003</v>
      </c>
      <c r="BM20" s="448">
        <f t="shared" si="20"/>
        <v>70.107532431999999</v>
      </c>
      <c r="BN20" s="448">
        <f t="shared" si="21"/>
        <v>93.504764144000006</v>
      </c>
      <c r="BO20" s="448">
        <f t="shared" si="22"/>
        <v>98.342290000000006</v>
      </c>
      <c r="BP20" s="448"/>
      <c r="BQ20" s="448">
        <f t="shared" si="23"/>
        <v>706.55</v>
      </c>
      <c r="BR20" s="448">
        <f t="shared" si="24"/>
        <v>1660.02</v>
      </c>
      <c r="BS20" s="448">
        <f t="shared" si="25"/>
        <v>288.66000000000003</v>
      </c>
      <c r="BT20" s="448">
        <f t="shared" si="26"/>
        <v>346.26</v>
      </c>
      <c r="BU20" s="448">
        <f t="shared" si="27"/>
        <v>441.11775664000004</v>
      </c>
      <c r="BV20" s="448">
        <f t="shared" si="28"/>
        <v>66.83963</v>
      </c>
      <c r="BW20" s="448">
        <f t="shared" si="29"/>
        <v>507.95738664000004</v>
      </c>
      <c r="BX20" s="448">
        <f t="shared" si="30"/>
        <v>1142.8773866400002</v>
      </c>
      <c r="BY20" s="448">
        <f t="shared" si="31"/>
        <v>5170.9357866400005</v>
      </c>
      <c r="BZ20" s="448">
        <f t="shared" si="32"/>
        <v>706.55</v>
      </c>
      <c r="CA20" s="448">
        <f t="shared" si="33"/>
        <v>5877.4857866400007</v>
      </c>
      <c r="CB20" s="449"/>
    </row>
    <row r="21" spans="1:80" s="496" customFormat="1" ht="15.75" customHeight="1">
      <c r="A21" s="481">
        <v>1</v>
      </c>
      <c r="B21" s="481">
        <v>0</v>
      </c>
      <c r="C21" s="481" t="s">
        <v>3287</v>
      </c>
      <c r="D21" s="580">
        <f>VLOOKUP(C21,ISS!A:B,2,0)</f>
        <v>0.05</v>
      </c>
      <c r="E21" s="583">
        <f t="shared" si="8"/>
        <v>9.4600000000000004E-2</v>
      </c>
      <c r="F21" s="482">
        <v>8</v>
      </c>
      <c r="G21" s="483">
        <v>12348</v>
      </c>
      <c r="H21" s="484" t="s">
        <v>3939</v>
      </c>
      <c r="I21" s="481" t="s">
        <v>3848</v>
      </c>
      <c r="J21" s="485" t="s">
        <v>3521</v>
      </c>
      <c r="K21" s="481" t="str">
        <f t="shared" si="3"/>
        <v>Belo HorizonteVIGILANTE ARMADO - 12X36 DIURNO</v>
      </c>
      <c r="L21" s="486" t="s">
        <v>3882</v>
      </c>
      <c r="M21" s="486" t="s">
        <v>3876</v>
      </c>
      <c r="N21" s="485" t="s">
        <v>3914</v>
      </c>
      <c r="O21" s="485"/>
      <c r="P21" s="485"/>
      <c r="Q21" s="487">
        <f>VLOOKUP('BANCO DADOS-CUSTO TOTAL'!$K21,PARAMETROS!$E:AX,3,0)</f>
        <v>1602.86</v>
      </c>
      <c r="R21" s="487">
        <f>VLOOKUP('BANCO DADOS-CUSTO TOTAL'!$K21,PARAMETROS!$E:AY,4,0)</f>
        <v>0</v>
      </c>
      <c r="S21" s="487">
        <f>VLOOKUP('BANCO DADOS-CUSTO TOTAL'!$K21,PARAMETROS!$E:AZ,5,0)</f>
        <v>480.85799999999995</v>
      </c>
      <c r="T21" s="487">
        <f>VLOOKUP('BANCO DADOS-CUSTO TOTAL'!$K21,PARAMETROS!$E:BA,6,0)</f>
        <v>0</v>
      </c>
      <c r="U21" s="487">
        <f>VLOOKUP('BANCO DADOS-CUSTO TOTAL'!$K21,PARAMETROS!$E:BB,7,0)</f>
        <v>0</v>
      </c>
      <c r="V21" s="487">
        <f>VLOOKUP('BANCO DADOS-CUSTO TOTAL'!$K21,PARAMETROS!$E:BC,8,0)</f>
        <v>0</v>
      </c>
      <c r="W21" s="487">
        <f>VLOOKUP('BANCO DADOS-CUSTO TOTAL'!$K21,PARAMETROS!$E:BD,9,0)</f>
        <v>146.80740454545455</v>
      </c>
      <c r="X21" s="487">
        <f>VLOOKUP('BANCO DADOS-CUSTO TOTAL'!$K21,PARAMETROS!$E:BE,10,0)</f>
        <v>47.357227272727279</v>
      </c>
      <c r="Y21" s="488">
        <f t="shared" si="9"/>
        <v>2277.88</v>
      </c>
      <c r="Z21" s="489"/>
      <c r="AA21" s="490">
        <v>10</v>
      </c>
      <c r="AB21" s="491">
        <f t="shared" si="34"/>
        <v>10</v>
      </c>
      <c r="AC21" s="492">
        <f t="shared" si="35"/>
        <v>759.29333333333329</v>
      </c>
      <c r="AD21" s="493">
        <f t="shared" si="36"/>
        <v>2277.88</v>
      </c>
      <c r="AE21" s="493">
        <f t="shared" si="37"/>
        <v>759.29333333333329</v>
      </c>
      <c r="AF21" s="488">
        <v>0</v>
      </c>
      <c r="AG21" s="488">
        <f>VLOOKUP(H21,'VA E VT - APOIO.LIMPEZA'!F:AX,14,0)</f>
        <v>0</v>
      </c>
      <c r="AH21" s="488">
        <f>VLOOKUP($H21,'VA E VT - APOIO.LIMPEZA'!$F:AY,20,0)</f>
        <v>0</v>
      </c>
      <c r="AI21" s="488">
        <v>0</v>
      </c>
      <c r="AJ21" s="488">
        <v>0</v>
      </c>
      <c r="AK21" s="488"/>
      <c r="AL21" s="488"/>
      <c r="AM21" s="488"/>
      <c r="AN21" s="488"/>
      <c r="AO21" s="494">
        <f t="shared" si="10"/>
        <v>0</v>
      </c>
      <c r="AP21" s="488">
        <v>0</v>
      </c>
      <c r="AQ21" s="492"/>
      <c r="AR21" s="488">
        <v>0</v>
      </c>
      <c r="AS21" s="492"/>
      <c r="AT21" s="494">
        <f t="shared" si="11"/>
        <v>0</v>
      </c>
      <c r="AU21" s="494">
        <f t="shared" si="12"/>
        <v>279.41994666666665</v>
      </c>
      <c r="AV21" s="494">
        <v>0</v>
      </c>
      <c r="AW21" s="494">
        <v>0</v>
      </c>
      <c r="AX21" s="494">
        <v>0</v>
      </c>
      <c r="AY21" s="494">
        <v>0</v>
      </c>
      <c r="AZ21" s="494">
        <v>0</v>
      </c>
      <c r="BA21" s="494">
        <v>0</v>
      </c>
      <c r="BB21" s="494">
        <v>0</v>
      </c>
      <c r="BC21" s="494">
        <f t="shared" si="14"/>
        <v>0</v>
      </c>
      <c r="BD21" s="494">
        <v>0</v>
      </c>
      <c r="BE21" s="494">
        <v>0</v>
      </c>
      <c r="BF21" s="494">
        <v>0</v>
      </c>
      <c r="BG21" s="494">
        <f t="shared" si="15"/>
        <v>0</v>
      </c>
      <c r="BH21" s="494">
        <v>0</v>
      </c>
      <c r="BI21" s="494">
        <f t="shared" si="16"/>
        <v>0</v>
      </c>
      <c r="BJ21" s="494">
        <f t="shared" si="17"/>
        <v>279.41000000000003</v>
      </c>
      <c r="BK21" s="494">
        <f t="shared" si="18"/>
        <v>0</v>
      </c>
      <c r="BL21" s="494">
        <f t="shared" si="19"/>
        <v>0</v>
      </c>
      <c r="BM21" s="494">
        <f t="shared" si="20"/>
        <v>0</v>
      </c>
      <c r="BN21" s="494">
        <f t="shared" si="21"/>
        <v>0</v>
      </c>
      <c r="BO21" s="494">
        <f t="shared" si="22"/>
        <v>32.649613333333328</v>
      </c>
      <c r="BP21" s="494"/>
      <c r="BQ21" s="494">
        <f t="shared" si="23"/>
        <v>32.64</v>
      </c>
      <c r="BR21" s="494">
        <f t="shared" si="24"/>
        <v>312.05</v>
      </c>
      <c r="BS21" s="494">
        <v>0</v>
      </c>
      <c r="BT21" s="494">
        <v>0</v>
      </c>
      <c r="BU21" s="494">
        <f t="shared" si="27"/>
        <v>98.261335333333335</v>
      </c>
      <c r="BV21" s="494">
        <f t="shared" si="28"/>
        <v>3.0877440000000003</v>
      </c>
      <c r="BW21" s="494">
        <f t="shared" si="29"/>
        <v>101.34907933333334</v>
      </c>
      <c r="BX21" s="494">
        <f t="shared" si="30"/>
        <v>101.34907933333334</v>
      </c>
      <c r="BY21" s="494">
        <f t="shared" si="31"/>
        <v>1140.0524126666667</v>
      </c>
      <c r="BZ21" s="494">
        <f t="shared" si="32"/>
        <v>32.64</v>
      </c>
      <c r="CA21" s="494">
        <f t="shared" si="33"/>
        <v>1172.6924126666668</v>
      </c>
      <c r="CB21" s="495" t="s">
        <v>3925</v>
      </c>
    </row>
    <row r="22" spans="1:80" s="496" customFormat="1" ht="15.75" customHeight="1">
      <c r="A22" s="481">
        <v>1</v>
      </c>
      <c r="B22" s="481">
        <v>1</v>
      </c>
      <c r="C22" s="481" t="s">
        <v>3287</v>
      </c>
      <c r="D22" s="580">
        <f>VLOOKUP(C22,ISS!A:B,2,0)</f>
        <v>0.05</v>
      </c>
      <c r="E22" s="583">
        <f t="shared" si="8"/>
        <v>9.4600000000000004E-2</v>
      </c>
      <c r="F22" s="482">
        <v>215</v>
      </c>
      <c r="G22" s="483">
        <v>124215</v>
      </c>
      <c r="H22" s="484" t="s">
        <v>3940</v>
      </c>
      <c r="I22" s="481" t="s">
        <v>3848</v>
      </c>
      <c r="J22" s="485" t="s">
        <v>3521</v>
      </c>
      <c r="K22" s="481" t="str">
        <f t="shared" si="3"/>
        <v>Belo HorizonteVIGILANTE ARMADO - 12X36 DIURNO</v>
      </c>
      <c r="L22" s="486" t="s">
        <v>3923</v>
      </c>
      <c r="M22" s="497"/>
      <c r="N22" s="485" t="s">
        <v>3915</v>
      </c>
      <c r="O22" s="498"/>
      <c r="P22" s="498"/>
      <c r="Q22" s="487">
        <f>VLOOKUP('BANCO DADOS-CUSTO TOTAL'!$K22,PARAMETROS!$E:AX,3,0)</f>
        <v>1602.86</v>
      </c>
      <c r="R22" s="487">
        <f>VLOOKUP('BANCO DADOS-CUSTO TOTAL'!$K22,PARAMETROS!$E:AY,4,0)</f>
        <v>0</v>
      </c>
      <c r="S22" s="487">
        <f>VLOOKUP('BANCO DADOS-CUSTO TOTAL'!$K22,PARAMETROS!$E:AZ,5,0)</f>
        <v>480.85799999999995</v>
      </c>
      <c r="T22" s="487">
        <f>VLOOKUP('BANCO DADOS-CUSTO TOTAL'!$K22,PARAMETROS!$E:BA,6,0)</f>
        <v>0</v>
      </c>
      <c r="U22" s="487">
        <f>VLOOKUP('BANCO DADOS-CUSTO TOTAL'!$K22,PARAMETROS!$E:BB,7,0)</f>
        <v>0</v>
      </c>
      <c r="V22" s="487">
        <f>VLOOKUP('BANCO DADOS-CUSTO TOTAL'!$K22,PARAMETROS!$E:BC,8,0)</f>
        <v>0</v>
      </c>
      <c r="W22" s="487">
        <f>VLOOKUP('BANCO DADOS-CUSTO TOTAL'!$K22,PARAMETROS!$E:BD,9,0)</f>
        <v>146.80740454545455</v>
      </c>
      <c r="X22" s="487">
        <f>VLOOKUP('BANCO DADOS-CUSTO TOTAL'!$K22,PARAMETROS!$E:BE,10,0)</f>
        <v>47.357227272727279</v>
      </c>
      <c r="Y22" s="488">
        <f t="shared" si="9"/>
        <v>2277.88</v>
      </c>
      <c r="Z22" s="489"/>
      <c r="AA22" s="490">
        <v>20</v>
      </c>
      <c r="AB22" s="491">
        <f t="shared" si="34"/>
        <v>20</v>
      </c>
      <c r="AC22" s="492">
        <f t="shared" si="35"/>
        <v>1518.5866666666666</v>
      </c>
      <c r="AD22" s="493">
        <f t="shared" si="36"/>
        <v>2277.88</v>
      </c>
      <c r="AE22" s="493">
        <f t="shared" si="37"/>
        <v>1518.5866666666666</v>
      </c>
      <c r="AF22" s="488">
        <f>IF(J22="EFETIVO",VLOOKUP(K22,PARAMETROS!$E:AX,11,0),0)</f>
        <v>112.9</v>
      </c>
      <c r="AG22" s="488">
        <f>VLOOKUP(H22,'VA E VT - APOIO.LIMPEZA'!F:AX,14,0)</f>
        <v>223.06049999999999</v>
      </c>
      <c r="AH22" s="488">
        <f>VLOOKUP($H22,'VA E VT - APOIO.LIMPEZA'!$F:AY,20,0)</f>
        <v>132.73560000000001</v>
      </c>
      <c r="AI22" s="488">
        <f>IF($J22="EFETIVO",VLOOKUP($K22,PARAMETROS!$E:BA,14,0),0)</f>
        <v>91.08</v>
      </c>
      <c r="AJ22" s="488">
        <f>IF($J22="EFETIVO",VLOOKUP($K22,PARAMETROS!$E:BB,15,0),0)</f>
        <v>17.03</v>
      </c>
      <c r="AK22" s="488"/>
      <c r="AL22" s="488"/>
      <c r="AM22" s="488"/>
      <c r="AN22" s="488"/>
      <c r="AO22" s="494">
        <f t="shared" si="10"/>
        <v>576.80610000000001</v>
      </c>
      <c r="AP22" s="488">
        <f>IF($J22="EFETIVO",VLOOKUP($K22,PARAMETROS!$E:BH,20,0),0)</f>
        <v>62.37</v>
      </c>
      <c r="AQ22" s="492"/>
      <c r="AR22" s="488">
        <f>IF($J22="EFETIVO",VLOOKUP($K22,PARAMETROS!$E:BJ,22,0),0)</f>
        <v>58.53</v>
      </c>
      <c r="AS22" s="492"/>
      <c r="AT22" s="494">
        <f t="shared" si="11"/>
        <v>120.9</v>
      </c>
      <c r="AU22" s="494">
        <f t="shared" si="12"/>
        <v>558.83989333333329</v>
      </c>
      <c r="AV22" s="494">
        <f>IF($J22="EFETIVO",$Y22*AV$10,0)</f>
        <v>4.1001840000000005</v>
      </c>
      <c r="AW22" s="494">
        <f t="shared" si="13"/>
        <v>11.3894</v>
      </c>
      <c r="AX22" s="494">
        <f t="shared" si="13"/>
        <v>0.91115200000000007</v>
      </c>
      <c r="AY22" s="494">
        <f t="shared" si="13"/>
        <v>0.45557600000000004</v>
      </c>
      <c r="AZ22" s="494">
        <f t="shared" si="13"/>
        <v>7.9725800000000007</v>
      </c>
      <c r="BA22" s="494">
        <f t="shared" si="13"/>
        <v>2.9339094400000003</v>
      </c>
      <c r="BB22" s="494">
        <f t="shared" si="13"/>
        <v>3.8723960000000002</v>
      </c>
      <c r="BC22" s="494">
        <f t="shared" si="14"/>
        <v>27.53</v>
      </c>
      <c r="BD22" s="494">
        <f t="shared" si="15"/>
        <v>31.662531999999999</v>
      </c>
      <c r="BE22" s="494">
        <f t="shared" si="15"/>
        <v>19.134191999999999</v>
      </c>
      <c r="BF22" s="494">
        <f t="shared" si="15"/>
        <v>7.517004</v>
      </c>
      <c r="BG22" s="494">
        <f t="shared" si="15"/>
        <v>0</v>
      </c>
      <c r="BH22" s="494">
        <f t="shared" si="15"/>
        <v>21.459451904000002</v>
      </c>
      <c r="BI22" s="494">
        <f t="shared" si="16"/>
        <v>79.77</v>
      </c>
      <c r="BJ22" s="494">
        <f t="shared" si="17"/>
        <v>670.24</v>
      </c>
      <c r="BK22" s="494">
        <f t="shared" si="18"/>
        <v>189.74740400000002</v>
      </c>
      <c r="BL22" s="494">
        <f t="shared" si="19"/>
        <v>253.07246800000001</v>
      </c>
      <c r="BM22" s="494">
        <f t="shared" si="20"/>
        <v>69.827044672</v>
      </c>
      <c r="BN22" s="494">
        <f t="shared" si="21"/>
        <v>93.130668224000004</v>
      </c>
      <c r="BO22" s="494">
        <f t="shared" si="22"/>
        <v>65.299226666666655</v>
      </c>
      <c r="BP22" s="494"/>
      <c r="BQ22" s="494">
        <f t="shared" si="23"/>
        <v>671.07</v>
      </c>
      <c r="BR22" s="494">
        <f t="shared" si="24"/>
        <v>1341.31</v>
      </c>
      <c r="BS22" s="494">
        <f t="shared" si="25"/>
        <v>288.66000000000003</v>
      </c>
      <c r="BT22" s="494">
        <f t="shared" si="26"/>
        <v>346.26</v>
      </c>
      <c r="BU22" s="494">
        <f t="shared" si="27"/>
        <v>333.12943172666672</v>
      </c>
      <c r="BV22" s="494">
        <f t="shared" si="28"/>
        <v>63.483222000000005</v>
      </c>
      <c r="BW22" s="494">
        <f t="shared" si="29"/>
        <v>396.61265372666674</v>
      </c>
      <c r="BX22" s="494">
        <f t="shared" si="30"/>
        <v>1031.5326537266669</v>
      </c>
      <c r="BY22" s="494">
        <f t="shared" si="31"/>
        <v>3918.0654203933341</v>
      </c>
      <c r="BZ22" s="494">
        <f t="shared" si="32"/>
        <v>671.07</v>
      </c>
      <c r="CA22" s="494">
        <f t="shared" si="33"/>
        <v>4589.1354203933342</v>
      </c>
      <c r="CB22" s="495" t="s">
        <v>3924</v>
      </c>
    </row>
    <row r="23" spans="1:80" s="450" customFormat="1" ht="15.75" customHeight="1">
      <c r="A23" s="435">
        <v>1</v>
      </c>
      <c r="B23" s="435">
        <v>1</v>
      </c>
      <c r="C23" s="435" t="s">
        <v>3287</v>
      </c>
      <c r="D23" s="436">
        <f>VLOOKUP(C23,ISS!A:B,2,0)</f>
        <v>0.05</v>
      </c>
      <c r="E23" s="437">
        <f t="shared" si="8"/>
        <v>9.4600000000000004E-2</v>
      </c>
      <c r="F23" s="438">
        <v>9</v>
      </c>
      <c r="G23" s="439">
        <v>12349</v>
      </c>
      <c r="H23" s="440" t="s">
        <v>3941</v>
      </c>
      <c r="I23" s="435" t="s">
        <v>3848</v>
      </c>
      <c r="J23" s="102" t="s">
        <v>3521</v>
      </c>
      <c r="K23" s="435" t="str">
        <f t="shared" ref="K23:K128" si="38">CONCATENATE(C23,I23)</f>
        <v>Belo HorizonteVIGILANTE ARMADO - 12X36 DIURNO</v>
      </c>
      <c r="L23" s="441" t="s">
        <v>3882</v>
      </c>
      <c r="M23" s="451"/>
      <c r="N23" s="102"/>
      <c r="O23" s="101"/>
      <c r="P23" s="101"/>
      <c r="Q23" s="442">
        <f>VLOOKUP('BANCO DADOS-CUSTO TOTAL'!$K23,PARAMETROS!$E:AX,3,0)</f>
        <v>1602.86</v>
      </c>
      <c r="R23" s="442">
        <f>VLOOKUP('BANCO DADOS-CUSTO TOTAL'!$K23,PARAMETROS!$E:AY,4,0)</f>
        <v>0</v>
      </c>
      <c r="S23" s="442">
        <f>VLOOKUP('BANCO DADOS-CUSTO TOTAL'!$K23,PARAMETROS!$E:AZ,5,0)</f>
        <v>480.85799999999995</v>
      </c>
      <c r="T23" s="442">
        <f>VLOOKUP('BANCO DADOS-CUSTO TOTAL'!$K23,PARAMETROS!$E:BA,6,0)</f>
        <v>0</v>
      </c>
      <c r="U23" s="442">
        <f>VLOOKUP('BANCO DADOS-CUSTO TOTAL'!$K23,PARAMETROS!$E:BB,7,0)</f>
        <v>0</v>
      </c>
      <c r="V23" s="442">
        <f>VLOOKUP('BANCO DADOS-CUSTO TOTAL'!$K23,PARAMETROS!$E:BC,8,0)</f>
        <v>0</v>
      </c>
      <c r="W23" s="442">
        <f>VLOOKUP('BANCO DADOS-CUSTO TOTAL'!$K23,PARAMETROS!$E:BD,9,0)</f>
        <v>146.80740454545455</v>
      </c>
      <c r="X23" s="442">
        <f>VLOOKUP('BANCO DADOS-CUSTO TOTAL'!$K23,PARAMETROS!$E:BE,10,0)</f>
        <v>47.357227272727279</v>
      </c>
      <c r="Y23" s="443">
        <f t="shared" si="9"/>
        <v>2277.88</v>
      </c>
      <c r="Z23" s="456"/>
      <c r="AA23" s="444">
        <v>30</v>
      </c>
      <c r="AB23" s="445">
        <f t="shared" si="34"/>
        <v>30</v>
      </c>
      <c r="AC23" s="446">
        <f t="shared" si="35"/>
        <v>2277.88</v>
      </c>
      <c r="AD23" s="447">
        <f t="shared" si="36"/>
        <v>2277.88</v>
      </c>
      <c r="AE23" s="447">
        <f t="shared" si="37"/>
        <v>2277.88</v>
      </c>
      <c r="AF23" s="443">
        <f>IF(J23="EFETIVO",VLOOKUP(K23,PARAMETROS!$E:AX,11,0),0)</f>
        <v>112.9</v>
      </c>
      <c r="AG23" s="443">
        <f>VLOOKUP(H23,'VA E VT - APOIO.LIMPEZA'!F:AX,14,0)</f>
        <v>223.06049999999999</v>
      </c>
      <c r="AH23" s="443">
        <f>VLOOKUP($H23,'VA E VT - APOIO.LIMPEZA'!$F:AY,20,0)</f>
        <v>100.6784</v>
      </c>
      <c r="AI23" s="443">
        <f>IF($J23="EFETIVO",VLOOKUP($K23,PARAMETROS!$E:BA,14,0),0)</f>
        <v>91.08</v>
      </c>
      <c r="AJ23" s="443">
        <f>IF($J23="EFETIVO",VLOOKUP($K23,PARAMETROS!$E:BB,15,0),0)</f>
        <v>17.03</v>
      </c>
      <c r="AK23" s="443"/>
      <c r="AL23" s="443"/>
      <c r="AM23" s="443"/>
      <c r="AN23" s="443"/>
      <c r="AO23" s="448">
        <f t="shared" si="10"/>
        <v>544.74890000000005</v>
      </c>
      <c r="AP23" s="443">
        <f>IF($J23="EFETIVO",VLOOKUP($K23,PARAMETROS!$E:BH,20,0),0)</f>
        <v>62.37</v>
      </c>
      <c r="AQ23" s="446"/>
      <c r="AR23" s="443">
        <f>IF($J23="EFETIVO",VLOOKUP($K23,PARAMETROS!$E:BJ,22,0),0)</f>
        <v>58.53</v>
      </c>
      <c r="AS23" s="446"/>
      <c r="AT23" s="448">
        <f t="shared" si="11"/>
        <v>120.9</v>
      </c>
      <c r="AU23" s="448">
        <f t="shared" si="12"/>
        <v>838.25984000000005</v>
      </c>
      <c r="AV23" s="448">
        <f t="shared" si="13"/>
        <v>4.1001840000000005</v>
      </c>
      <c r="AW23" s="448">
        <f t="shared" si="13"/>
        <v>11.3894</v>
      </c>
      <c r="AX23" s="448">
        <f t="shared" si="13"/>
        <v>0.91115200000000007</v>
      </c>
      <c r="AY23" s="448">
        <f t="shared" si="13"/>
        <v>0.45557600000000004</v>
      </c>
      <c r="AZ23" s="448">
        <f t="shared" si="13"/>
        <v>7.9725800000000007</v>
      </c>
      <c r="BA23" s="448">
        <f t="shared" si="13"/>
        <v>2.9339094400000003</v>
      </c>
      <c r="BB23" s="448">
        <f t="shared" si="13"/>
        <v>3.8723960000000002</v>
      </c>
      <c r="BC23" s="448">
        <f t="shared" si="14"/>
        <v>27.53</v>
      </c>
      <c r="BD23" s="448">
        <f t="shared" si="15"/>
        <v>31.662531999999999</v>
      </c>
      <c r="BE23" s="448">
        <f t="shared" si="15"/>
        <v>19.134191999999999</v>
      </c>
      <c r="BF23" s="448">
        <f t="shared" si="15"/>
        <v>7.517004</v>
      </c>
      <c r="BG23" s="448">
        <f t="shared" si="15"/>
        <v>0</v>
      </c>
      <c r="BH23" s="448">
        <f t="shared" si="15"/>
        <v>21.459451904000002</v>
      </c>
      <c r="BI23" s="448">
        <f t="shared" si="16"/>
        <v>79.77</v>
      </c>
      <c r="BJ23" s="448">
        <f t="shared" si="17"/>
        <v>949.66</v>
      </c>
      <c r="BK23" s="448">
        <f t="shared" si="18"/>
        <v>189.74740400000002</v>
      </c>
      <c r="BL23" s="448">
        <f t="shared" si="19"/>
        <v>253.07246800000001</v>
      </c>
      <c r="BM23" s="448">
        <f t="shared" si="20"/>
        <v>69.827044672</v>
      </c>
      <c r="BN23" s="448">
        <f t="shared" si="21"/>
        <v>93.130668224000004</v>
      </c>
      <c r="BO23" s="448">
        <f t="shared" si="22"/>
        <v>97.94883999999999</v>
      </c>
      <c r="BP23" s="448"/>
      <c r="BQ23" s="448">
        <f t="shared" si="23"/>
        <v>703.72</v>
      </c>
      <c r="BR23" s="448">
        <f t="shared" si="24"/>
        <v>1653.38</v>
      </c>
      <c r="BS23" s="448">
        <f t="shared" si="25"/>
        <v>288.66000000000003</v>
      </c>
      <c r="BT23" s="448">
        <f t="shared" si="26"/>
        <v>346.26</v>
      </c>
      <c r="BU23" s="448">
        <f t="shared" si="27"/>
        <v>428.35910194000002</v>
      </c>
      <c r="BV23" s="448">
        <f t="shared" si="28"/>
        <v>66.571912000000012</v>
      </c>
      <c r="BW23" s="448">
        <f t="shared" si="29"/>
        <v>494.93101394000001</v>
      </c>
      <c r="BX23" s="448">
        <f t="shared" si="30"/>
        <v>1129.85101394</v>
      </c>
      <c r="BY23" s="448">
        <f t="shared" si="31"/>
        <v>5023.0399139399997</v>
      </c>
      <c r="BZ23" s="448">
        <f t="shared" si="32"/>
        <v>703.72</v>
      </c>
      <c r="CA23" s="448">
        <f t="shared" si="33"/>
        <v>5726.7599139399999</v>
      </c>
      <c r="CB23" s="449"/>
    </row>
    <row r="24" spans="1:80" s="450" customFormat="1" ht="15.75" customHeight="1">
      <c r="A24" s="435">
        <v>1</v>
      </c>
      <c r="B24" s="435">
        <v>1</v>
      </c>
      <c r="C24" s="435" t="s">
        <v>3287</v>
      </c>
      <c r="D24" s="436">
        <f>VLOOKUP(C24,ISS!A:B,2,0)</f>
        <v>0.05</v>
      </c>
      <c r="E24" s="437">
        <f t="shared" si="8"/>
        <v>9.4600000000000004E-2</v>
      </c>
      <c r="F24" s="438">
        <v>10</v>
      </c>
      <c r="G24" s="439">
        <v>12350</v>
      </c>
      <c r="H24" s="440" t="s">
        <v>3942</v>
      </c>
      <c r="I24" s="435" t="s">
        <v>3848</v>
      </c>
      <c r="J24" s="102" t="s">
        <v>3521</v>
      </c>
      <c r="K24" s="435" t="str">
        <f t="shared" si="38"/>
        <v>Belo HorizonteVIGILANTE ARMADO - 12X36 DIURNO</v>
      </c>
      <c r="L24" s="441" t="s">
        <v>3882</v>
      </c>
      <c r="M24" s="451"/>
      <c r="N24" s="102"/>
      <c r="O24" s="101"/>
      <c r="P24" s="101"/>
      <c r="Q24" s="442">
        <f>VLOOKUP('BANCO DADOS-CUSTO TOTAL'!$K24,PARAMETROS!$E:AX,3,0)</f>
        <v>1602.86</v>
      </c>
      <c r="R24" s="442">
        <f>VLOOKUP('BANCO DADOS-CUSTO TOTAL'!$K24,PARAMETROS!$E:AY,4,0)</f>
        <v>0</v>
      </c>
      <c r="S24" s="442">
        <f>VLOOKUP('BANCO DADOS-CUSTO TOTAL'!$K24,PARAMETROS!$E:AZ,5,0)</f>
        <v>480.85799999999995</v>
      </c>
      <c r="T24" s="442">
        <f>VLOOKUP('BANCO DADOS-CUSTO TOTAL'!$K24,PARAMETROS!$E:BA,6,0)</f>
        <v>0</v>
      </c>
      <c r="U24" s="442">
        <f>VLOOKUP('BANCO DADOS-CUSTO TOTAL'!$K24,PARAMETROS!$E:BB,7,0)</f>
        <v>0</v>
      </c>
      <c r="V24" s="442">
        <f>VLOOKUP('BANCO DADOS-CUSTO TOTAL'!$K24,PARAMETROS!$E:BC,8,0)</f>
        <v>0</v>
      </c>
      <c r="W24" s="442">
        <f>VLOOKUP('BANCO DADOS-CUSTO TOTAL'!$K24,PARAMETROS!$E:BD,9,0)</f>
        <v>146.80740454545455</v>
      </c>
      <c r="X24" s="442">
        <f>VLOOKUP('BANCO DADOS-CUSTO TOTAL'!$K24,PARAMETROS!$E:BE,10,0)</f>
        <v>47.357227272727279</v>
      </c>
      <c r="Y24" s="443">
        <f t="shared" si="9"/>
        <v>2277.88</v>
      </c>
      <c r="Z24" s="456"/>
      <c r="AA24" s="444">
        <v>30</v>
      </c>
      <c r="AB24" s="445">
        <f t="shared" si="34"/>
        <v>30</v>
      </c>
      <c r="AC24" s="446">
        <f t="shared" si="35"/>
        <v>2277.88</v>
      </c>
      <c r="AD24" s="447">
        <f t="shared" si="36"/>
        <v>2277.88</v>
      </c>
      <c r="AE24" s="447">
        <f t="shared" si="37"/>
        <v>2277.88</v>
      </c>
      <c r="AF24" s="443">
        <f>IF(J24="EFETIVO",VLOOKUP(K24,PARAMETROS!$E:AX,11,0),0)</f>
        <v>112.9</v>
      </c>
      <c r="AG24" s="443">
        <f>VLOOKUP(H24,'VA E VT - APOIO.LIMPEZA'!F:AX,14,0)</f>
        <v>223.06049999999999</v>
      </c>
      <c r="AH24" s="443">
        <f>VLOOKUP($H24,'VA E VT - APOIO.LIMPEZA'!$F:AY,20,0)</f>
        <v>100.6784</v>
      </c>
      <c r="AI24" s="443">
        <f>IF($J24="EFETIVO",VLOOKUP($K24,PARAMETROS!$E:BA,14,0),0)</f>
        <v>91.08</v>
      </c>
      <c r="AJ24" s="443">
        <f>IF($J24="EFETIVO",VLOOKUP($K24,PARAMETROS!$E:BB,15,0),0)</f>
        <v>17.03</v>
      </c>
      <c r="AK24" s="443"/>
      <c r="AL24" s="443"/>
      <c r="AM24" s="443"/>
      <c r="AN24" s="443"/>
      <c r="AO24" s="448">
        <f t="shared" si="10"/>
        <v>544.74890000000005</v>
      </c>
      <c r="AP24" s="443">
        <f>IF($J24="EFETIVO",VLOOKUP($K24,PARAMETROS!$E:BH,20,0),0)</f>
        <v>62.37</v>
      </c>
      <c r="AQ24" s="446"/>
      <c r="AR24" s="443">
        <f>IF($J24="EFETIVO",VLOOKUP($K24,PARAMETROS!$E:BJ,22,0),0)</f>
        <v>58.53</v>
      </c>
      <c r="AS24" s="446"/>
      <c r="AT24" s="448">
        <f t="shared" si="11"/>
        <v>120.9</v>
      </c>
      <c r="AU24" s="448">
        <f t="shared" si="12"/>
        <v>838.25984000000005</v>
      </c>
      <c r="AV24" s="448">
        <f t="shared" si="13"/>
        <v>4.1001840000000005</v>
      </c>
      <c r="AW24" s="448">
        <f t="shared" si="13"/>
        <v>11.3894</v>
      </c>
      <c r="AX24" s="448">
        <f t="shared" si="13"/>
        <v>0.91115200000000007</v>
      </c>
      <c r="AY24" s="448">
        <f t="shared" si="13"/>
        <v>0.45557600000000004</v>
      </c>
      <c r="AZ24" s="448">
        <f t="shared" si="13"/>
        <v>7.9725800000000007</v>
      </c>
      <c r="BA24" s="448">
        <f t="shared" si="13"/>
        <v>2.9339094400000003</v>
      </c>
      <c r="BB24" s="448">
        <f t="shared" si="13"/>
        <v>3.8723960000000002</v>
      </c>
      <c r="BC24" s="448">
        <f t="shared" si="14"/>
        <v>27.53</v>
      </c>
      <c r="BD24" s="448">
        <f t="shared" si="15"/>
        <v>31.662531999999999</v>
      </c>
      <c r="BE24" s="448">
        <f t="shared" si="15"/>
        <v>19.134191999999999</v>
      </c>
      <c r="BF24" s="448">
        <f t="shared" si="15"/>
        <v>7.517004</v>
      </c>
      <c r="BG24" s="448">
        <f t="shared" si="15"/>
        <v>0</v>
      </c>
      <c r="BH24" s="448">
        <f t="shared" si="15"/>
        <v>21.459451904000002</v>
      </c>
      <c r="BI24" s="448">
        <f t="shared" si="16"/>
        <v>79.77</v>
      </c>
      <c r="BJ24" s="448">
        <f t="shared" si="17"/>
        <v>949.66</v>
      </c>
      <c r="BK24" s="448">
        <f t="shared" si="18"/>
        <v>189.74740400000002</v>
      </c>
      <c r="BL24" s="448">
        <f t="shared" si="19"/>
        <v>253.07246800000001</v>
      </c>
      <c r="BM24" s="448">
        <f t="shared" si="20"/>
        <v>69.827044672</v>
      </c>
      <c r="BN24" s="448">
        <f t="shared" si="21"/>
        <v>93.130668224000004</v>
      </c>
      <c r="BO24" s="448">
        <f t="shared" si="22"/>
        <v>97.94883999999999</v>
      </c>
      <c r="BP24" s="448"/>
      <c r="BQ24" s="448">
        <f t="shared" si="23"/>
        <v>703.72</v>
      </c>
      <c r="BR24" s="448">
        <f t="shared" si="24"/>
        <v>1653.38</v>
      </c>
      <c r="BS24" s="448">
        <f t="shared" si="25"/>
        <v>288.66000000000003</v>
      </c>
      <c r="BT24" s="448">
        <f t="shared" si="26"/>
        <v>346.26</v>
      </c>
      <c r="BU24" s="448">
        <f t="shared" si="27"/>
        <v>428.35910194000002</v>
      </c>
      <c r="BV24" s="448">
        <f t="shared" si="28"/>
        <v>66.571912000000012</v>
      </c>
      <c r="BW24" s="448">
        <f t="shared" si="29"/>
        <v>494.93101394000001</v>
      </c>
      <c r="BX24" s="448">
        <f t="shared" si="30"/>
        <v>1129.85101394</v>
      </c>
      <c r="BY24" s="448">
        <f t="shared" si="31"/>
        <v>5023.0399139399997</v>
      </c>
      <c r="BZ24" s="448">
        <f t="shared" si="32"/>
        <v>703.72</v>
      </c>
      <c r="CA24" s="448">
        <f t="shared" si="33"/>
        <v>5726.7599139399999</v>
      </c>
      <c r="CB24" s="449"/>
    </row>
    <row r="25" spans="1:80" s="450" customFormat="1" ht="15.75" customHeight="1">
      <c r="A25" s="435">
        <v>1</v>
      </c>
      <c r="B25" s="435">
        <v>1</v>
      </c>
      <c r="C25" s="435" t="s">
        <v>3287</v>
      </c>
      <c r="D25" s="436">
        <f>VLOOKUP(C25,ISS!A:B,2,0)</f>
        <v>0.05</v>
      </c>
      <c r="E25" s="437">
        <f t="shared" si="8"/>
        <v>9.4600000000000004E-2</v>
      </c>
      <c r="F25" s="438">
        <v>11</v>
      </c>
      <c r="G25" s="439">
        <v>12351</v>
      </c>
      <c r="H25" s="440" t="s">
        <v>3943</v>
      </c>
      <c r="I25" s="435" t="s">
        <v>3848</v>
      </c>
      <c r="J25" s="102" t="s">
        <v>3521</v>
      </c>
      <c r="K25" s="435" t="str">
        <f t="shared" si="38"/>
        <v>Belo HorizonteVIGILANTE ARMADO - 12X36 DIURNO</v>
      </c>
      <c r="L25" s="441" t="s">
        <v>3882</v>
      </c>
      <c r="M25" s="451"/>
      <c r="N25" s="102"/>
      <c r="O25" s="101"/>
      <c r="P25" s="101"/>
      <c r="Q25" s="442">
        <f>VLOOKUP('BANCO DADOS-CUSTO TOTAL'!$K25,PARAMETROS!$E:AX,3,0)</f>
        <v>1602.86</v>
      </c>
      <c r="R25" s="442">
        <f>VLOOKUP('BANCO DADOS-CUSTO TOTAL'!$K25,PARAMETROS!$E:AY,4,0)</f>
        <v>0</v>
      </c>
      <c r="S25" s="442">
        <f>VLOOKUP('BANCO DADOS-CUSTO TOTAL'!$K25,PARAMETROS!$E:AZ,5,0)</f>
        <v>480.85799999999995</v>
      </c>
      <c r="T25" s="442">
        <f>VLOOKUP('BANCO DADOS-CUSTO TOTAL'!$K25,PARAMETROS!$E:BA,6,0)</f>
        <v>0</v>
      </c>
      <c r="U25" s="442">
        <f>VLOOKUP('BANCO DADOS-CUSTO TOTAL'!$K25,PARAMETROS!$E:BB,7,0)</f>
        <v>0</v>
      </c>
      <c r="V25" s="442">
        <f>VLOOKUP('BANCO DADOS-CUSTO TOTAL'!$K25,PARAMETROS!$E:BC,8,0)</f>
        <v>0</v>
      </c>
      <c r="W25" s="442">
        <f>VLOOKUP('BANCO DADOS-CUSTO TOTAL'!$K25,PARAMETROS!$E:BD,9,0)</f>
        <v>146.80740454545455</v>
      </c>
      <c r="X25" s="442">
        <f>VLOOKUP('BANCO DADOS-CUSTO TOTAL'!$K25,PARAMETROS!$E:BE,10,0)</f>
        <v>47.357227272727279</v>
      </c>
      <c r="Y25" s="443">
        <f t="shared" si="9"/>
        <v>2277.88</v>
      </c>
      <c r="Z25" s="456"/>
      <c r="AA25" s="444">
        <v>30</v>
      </c>
      <c r="AB25" s="445">
        <f t="shared" si="34"/>
        <v>30</v>
      </c>
      <c r="AC25" s="446">
        <f t="shared" si="35"/>
        <v>2277.88</v>
      </c>
      <c r="AD25" s="447">
        <f t="shared" si="36"/>
        <v>2277.88</v>
      </c>
      <c r="AE25" s="447">
        <f t="shared" si="37"/>
        <v>2277.88</v>
      </c>
      <c r="AF25" s="443">
        <f>IF(J25="EFETIVO",VLOOKUP(K25,PARAMETROS!$E:AX,11,0),0)</f>
        <v>112.9</v>
      </c>
      <c r="AG25" s="443">
        <f>VLOOKUP(H25,'VA E VT - APOIO.LIMPEZA'!F:AX,14,0)</f>
        <v>223.06049999999999</v>
      </c>
      <c r="AH25" s="443">
        <f>VLOOKUP($H25,'VA E VT - APOIO.LIMPEZA'!$F:AY,20,0)</f>
        <v>100.6784</v>
      </c>
      <c r="AI25" s="443">
        <f>IF($J25="EFETIVO",VLOOKUP($K25,PARAMETROS!$E:BA,14,0),0)</f>
        <v>91.08</v>
      </c>
      <c r="AJ25" s="443">
        <f>IF($J25="EFETIVO",VLOOKUP($K25,PARAMETROS!$E:BB,15,0),0)</f>
        <v>17.03</v>
      </c>
      <c r="AK25" s="443"/>
      <c r="AL25" s="443"/>
      <c r="AM25" s="443"/>
      <c r="AN25" s="443"/>
      <c r="AO25" s="448">
        <f t="shared" si="10"/>
        <v>544.74890000000005</v>
      </c>
      <c r="AP25" s="443">
        <f>IF($J25="EFETIVO",VLOOKUP($K25,PARAMETROS!$E:BH,20,0),0)</f>
        <v>62.37</v>
      </c>
      <c r="AQ25" s="446"/>
      <c r="AR25" s="443">
        <f>IF($J25="EFETIVO",VLOOKUP($K25,PARAMETROS!$E:BJ,22,0),0)</f>
        <v>58.53</v>
      </c>
      <c r="AS25" s="446"/>
      <c r="AT25" s="448">
        <f t="shared" si="11"/>
        <v>120.9</v>
      </c>
      <c r="AU25" s="448">
        <f t="shared" si="12"/>
        <v>838.25984000000005</v>
      </c>
      <c r="AV25" s="448">
        <f t="shared" si="13"/>
        <v>4.1001840000000005</v>
      </c>
      <c r="AW25" s="448">
        <f t="shared" si="13"/>
        <v>11.3894</v>
      </c>
      <c r="AX25" s="448">
        <f t="shared" si="13"/>
        <v>0.91115200000000007</v>
      </c>
      <c r="AY25" s="448">
        <f t="shared" si="13"/>
        <v>0.45557600000000004</v>
      </c>
      <c r="AZ25" s="448">
        <f t="shared" si="13"/>
        <v>7.9725800000000007</v>
      </c>
      <c r="BA25" s="448">
        <f t="shared" si="13"/>
        <v>2.9339094400000003</v>
      </c>
      <c r="BB25" s="448">
        <f t="shared" si="13"/>
        <v>3.8723960000000002</v>
      </c>
      <c r="BC25" s="448">
        <f t="shared" si="14"/>
        <v>27.53</v>
      </c>
      <c r="BD25" s="448">
        <f t="shared" si="15"/>
        <v>31.662531999999999</v>
      </c>
      <c r="BE25" s="448">
        <f t="shared" si="15"/>
        <v>19.134191999999999</v>
      </c>
      <c r="BF25" s="448">
        <f t="shared" si="15"/>
        <v>7.517004</v>
      </c>
      <c r="BG25" s="448">
        <f t="shared" si="15"/>
        <v>0</v>
      </c>
      <c r="BH25" s="448">
        <f t="shared" si="15"/>
        <v>21.459451904000002</v>
      </c>
      <c r="BI25" s="448">
        <f t="shared" si="16"/>
        <v>79.77</v>
      </c>
      <c r="BJ25" s="448">
        <f t="shared" si="17"/>
        <v>949.66</v>
      </c>
      <c r="BK25" s="448">
        <f t="shared" si="18"/>
        <v>189.74740400000002</v>
      </c>
      <c r="BL25" s="448">
        <f t="shared" si="19"/>
        <v>253.07246800000001</v>
      </c>
      <c r="BM25" s="448">
        <f t="shared" si="20"/>
        <v>69.827044672</v>
      </c>
      <c r="BN25" s="448">
        <f t="shared" si="21"/>
        <v>93.130668224000004</v>
      </c>
      <c r="BO25" s="448">
        <f t="shared" si="22"/>
        <v>97.94883999999999</v>
      </c>
      <c r="BP25" s="448"/>
      <c r="BQ25" s="448">
        <f t="shared" si="23"/>
        <v>703.72</v>
      </c>
      <c r="BR25" s="448">
        <f t="shared" si="24"/>
        <v>1653.38</v>
      </c>
      <c r="BS25" s="448">
        <f t="shared" si="25"/>
        <v>288.66000000000003</v>
      </c>
      <c r="BT25" s="448">
        <f t="shared" si="26"/>
        <v>346.26</v>
      </c>
      <c r="BU25" s="448">
        <f t="shared" si="27"/>
        <v>428.35910194000002</v>
      </c>
      <c r="BV25" s="448">
        <f t="shared" si="28"/>
        <v>66.571912000000012</v>
      </c>
      <c r="BW25" s="448">
        <f t="shared" si="29"/>
        <v>494.93101394000001</v>
      </c>
      <c r="BX25" s="448">
        <f t="shared" si="30"/>
        <v>1129.85101394</v>
      </c>
      <c r="BY25" s="448">
        <f t="shared" si="31"/>
        <v>5023.0399139399997</v>
      </c>
      <c r="BZ25" s="448">
        <f t="shared" si="32"/>
        <v>703.72</v>
      </c>
      <c r="CA25" s="448">
        <f t="shared" si="33"/>
        <v>5726.7599139399999</v>
      </c>
      <c r="CB25" s="449"/>
    </row>
    <row r="26" spans="1:80" s="450" customFormat="1" ht="15.75" customHeight="1">
      <c r="A26" s="435">
        <v>1</v>
      </c>
      <c r="B26" s="435">
        <v>1</v>
      </c>
      <c r="C26" s="435" t="s">
        <v>3287</v>
      </c>
      <c r="D26" s="436">
        <f>VLOOKUP(C26,ISS!A:B,2,0)</f>
        <v>0.05</v>
      </c>
      <c r="E26" s="437">
        <f t="shared" si="8"/>
        <v>9.4600000000000004E-2</v>
      </c>
      <c r="F26" s="438">
        <v>12</v>
      </c>
      <c r="G26" s="439">
        <v>12352</v>
      </c>
      <c r="H26" s="440" t="s">
        <v>3944</v>
      </c>
      <c r="I26" s="435" t="s">
        <v>3848</v>
      </c>
      <c r="J26" s="102" t="s">
        <v>3521</v>
      </c>
      <c r="K26" s="435" t="str">
        <f t="shared" si="38"/>
        <v>Belo HorizonteVIGILANTE ARMADO - 12X36 DIURNO</v>
      </c>
      <c r="L26" s="441" t="s">
        <v>3883</v>
      </c>
      <c r="M26" s="451"/>
      <c r="N26" s="102" t="s">
        <v>3569</v>
      </c>
      <c r="O26" s="101" t="s">
        <v>3928</v>
      </c>
      <c r="P26" s="101" t="s">
        <v>4045</v>
      </c>
      <c r="Q26" s="442">
        <f>VLOOKUP('BANCO DADOS-CUSTO TOTAL'!$K26,PARAMETROS!$E:AX,3,0)</f>
        <v>1602.86</v>
      </c>
      <c r="R26" s="442">
        <f>VLOOKUP('BANCO DADOS-CUSTO TOTAL'!$K26,PARAMETROS!$E:AY,4,0)</f>
        <v>0</v>
      </c>
      <c r="S26" s="442">
        <f>VLOOKUP('BANCO DADOS-CUSTO TOTAL'!$K26,PARAMETROS!$E:AZ,5,0)</f>
        <v>480.85799999999995</v>
      </c>
      <c r="T26" s="442">
        <f>VLOOKUP('BANCO DADOS-CUSTO TOTAL'!$K26,PARAMETROS!$E:BA,6,0)</f>
        <v>0</v>
      </c>
      <c r="U26" s="442">
        <f>VLOOKUP('BANCO DADOS-CUSTO TOTAL'!$K26,PARAMETROS!$E:BB,7,0)</f>
        <v>0</v>
      </c>
      <c r="V26" s="442">
        <f>VLOOKUP('BANCO DADOS-CUSTO TOTAL'!$K26,PARAMETROS!$E:BC,8,0)</f>
        <v>0</v>
      </c>
      <c r="W26" s="442">
        <f>VLOOKUP('BANCO DADOS-CUSTO TOTAL'!$K26,PARAMETROS!$E:BD,9,0)</f>
        <v>146.80740454545455</v>
      </c>
      <c r="X26" s="442">
        <f>VLOOKUP('BANCO DADOS-CUSTO TOTAL'!$K26,PARAMETROS!$E:BE,10,0)</f>
        <v>47.357227272727279</v>
      </c>
      <c r="Y26" s="443">
        <f t="shared" si="9"/>
        <v>2277.88</v>
      </c>
      <c r="Z26" s="456"/>
      <c r="AA26" s="444">
        <v>10</v>
      </c>
      <c r="AB26" s="445">
        <f t="shared" si="34"/>
        <v>30</v>
      </c>
      <c r="AC26" s="446">
        <f t="shared" si="35"/>
        <v>759.29333333333329</v>
      </c>
      <c r="AD26" s="447">
        <f t="shared" si="36"/>
        <v>2277.88</v>
      </c>
      <c r="AE26" s="447">
        <f t="shared" si="37"/>
        <v>2277.88</v>
      </c>
      <c r="AF26" s="443">
        <f>IF(J26="EFETIVO",VLOOKUP(K26,PARAMETROS!$E:AX,11,0),0)</f>
        <v>112.9</v>
      </c>
      <c r="AG26" s="443">
        <f>VLOOKUP(H26,'VA E VT - APOIO.LIMPEZA'!F:AX,14,0)</f>
        <v>223.06049999999999</v>
      </c>
      <c r="AH26" s="443">
        <f>VLOOKUP($H26,'VA E VT - APOIO.LIMPEZA'!$F:AY,20,0)</f>
        <v>164.7928</v>
      </c>
      <c r="AI26" s="443">
        <f>IF($J26="EFETIVO",VLOOKUP($K26,PARAMETROS!$E:BA,14,0),0)</f>
        <v>91.08</v>
      </c>
      <c r="AJ26" s="443">
        <f>IF($J26="EFETIVO",VLOOKUP($K26,PARAMETROS!$E:BB,15,0),0)</f>
        <v>17.03</v>
      </c>
      <c r="AK26" s="443"/>
      <c r="AL26" s="443"/>
      <c r="AM26" s="443"/>
      <c r="AN26" s="443"/>
      <c r="AO26" s="448">
        <f t="shared" si="10"/>
        <v>608.86329999999998</v>
      </c>
      <c r="AP26" s="443">
        <f>IF($J26="EFETIVO",VLOOKUP($K26,PARAMETROS!$E:BH,20,0),0)</f>
        <v>62.37</v>
      </c>
      <c r="AQ26" s="446"/>
      <c r="AR26" s="443">
        <f>IF($J26="EFETIVO",VLOOKUP($K26,PARAMETROS!$E:BJ,22,0),0)</f>
        <v>58.53</v>
      </c>
      <c r="AS26" s="446"/>
      <c r="AT26" s="448">
        <f t="shared" si="11"/>
        <v>120.9</v>
      </c>
      <c r="AU26" s="448">
        <f t="shared" si="12"/>
        <v>279.41994666666665</v>
      </c>
      <c r="AV26" s="448">
        <f t="shared" si="13"/>
        <v>4.1001840000000005</v>
      </c>
      <c r="AW26" s="448">
        <f t="shared" si="13"/>
        <v>11.3894</v>
      </c>
      <c r="AX26" s="448">
        <f t="shared" si="13"/>
        <v>0.91115200000000007</v>
      </c>
      <c r="AY26" s="448">
        <f t="shared" si="13"/>
        <v>0.45557600000000004</v>
      </c>
      <c r="AZ26" s="448">
        <f t="shared" si="13"/>
        <v>7.9725800000000007</v>
      </c>
      <c r="BA26" s="448">
        <f t="shared" si="13"/>
        <v>2.9339094400000003</v>
      </c>
      <c r="BB26" s="448">
        <f t="shared" si="13"/>
        <v>3.8723960000000002</v>
      </c>
      <c r="BC26" s="448">
        <f t="shared" si="14"/>
        <v>27.53</v>
      </c>
      <c r="BD26" s="448">
        <f t="shared" si="15"/>
        <v>31.662531999999999</v>
      </c>
      <c r="BE26" s="448">
        <f t="shared" si="15"/>
        <v>19.134191999999999</v>
      </c>
      <c r="BF26" s="448">
        <f t="shared" si="15"/>
        <v>7.517004</v>
      </c>
      <c r="BG26" s="448">
        <f t="shared" si="15"/>
        <v>0</v>
      </c>
      <c r="BH26" s="448">
        <f t="shared" si="15"/>
        <v>21.459451904000002</v>
      </c>
      <c r="BI26" s="448">
        <f t="shared" si="16"/>
        <v>79.77</v>
      </c>
      <c r="BJ26" s="448">
        <f t="shared" si="17"/>
        <v>390.82</v>
      </c>
      <c r="BK26" s="448">
        <f t="shared" si="18"/>
        <v>189.74740400000002</v>
      </c>
      <c r="BL26" s="448">
        <f t="shared" si="19"/>
        <v>253.07246800000001</v>
      </c>
      <c r="BM26" s="448">
        <f t="shared" si="20"/>
        <v>69.827044672</v>
      </c>
      <c r="BN26" s="448">
        <f t="shared" si="21"/>
        <v>93.130668224000004</v>
      </c>
      <c r="BO26" s="448">
        <f t="shared" si="22"/>
        <v>97.94883999999999</v>
      </c>
      <c r="BP26" s="448"/>
      <c r="BQ26" s="448">
        <f t="shared" si="23"/>
        <v>703.72</v>
      </c>
      <c r="BR26" s="448">
        <f t="shared" si="24"/>
        <v>1094.54</v>
      </c>
      <c r="BS26" s="448">
        <f t="shared" si="25"/>
        <v>288.66000000000003</v>
      </c>
      <c r="BT26" s="448">
        <f t="shared" si="26"/>
        <v>346.26</v>
      </c>
      <c r="BU26" s="448">
        <f t="shared" si="27"/>
        <v>237.89976151333335</v>
      </c>
      <c r="BV26" s="448">
        <f t="shared" si="28"/>
        <v>66.571912000000012</v>
      </c>
      <c r="BW26" s="448">
        <f t="shared" si="29"/>
        <v>304.47167351333337</v>
      </c>
      <c r="BX26" s="448">
        <f t="shared" si="30"/>
        <v>939.39167351333344</v>
      </c>
      <c r="BY26" s="448">
        <f t="shared" si="31"/>
        <v>2819.2683068466667</v>
      </c>
      <c r="BZ26" s="448">
        <f t="shared" si="32"/>
        <v>703.72</v>
      </c>
      <c r="CA26" s="448">
        <f t="shared" si="33"/>
        <v>3522.988306846667</v>
      </c>
      <c r="CB26" s="449"/>
    </row>
    <row r="27" spans="1:80" s="450" customFormat="1" ht="15.75" customHeight="1">
      <c r="A27" s="435">
        <v>1</v>
      </c>
      <c r="B27" s="435">
        <v>0</v>
      </c>
      <c r="C27" s="435" t="s">
        <v>3287</v>
      </c>
      <c r="D27" s="436">
        <f>VLOOKUP(C27,ISS!A:B,2,0)</f>
        <v>0.05</v>
      </c>
      <c r="E27" s="437">
        <f t="shared" si="8"/>
        <v>9.4600000000000004E-2</v>
      </c>
      <c r="F27" s="438">
        <v>280</v>
      </c>
      <c r="G27" s="439">
        <v>124280</v>
      </c>
      <c r="H27" s="440" t="s">
        <v>3945</v>
      </c>
      <c r="I27" s="435" t="s">
        <v>3848</v>
      </c>
      <c r="J27" s="102" t="s">
        <v>3527</v>
      </c>
      <c r="K27" s="435" t="str">
        <f>CONCATENATE(C27,I27)</f>
        <v>Belo HorizonteVIGILANTE ARMADO - 12X36 DIURNO</v>
      </c>
      <c r="L27" s="441" t="s">
        <v>3928</v>
      </c>
      <c r="M27" s="451"/>
      <c r="N27" s="102"/>
      <c r="O27" s="101"/>
      <c r="P27" s="101"/>
      <c r="Q27" s="442">
        <f>VLOOKUP('BANCO DADOS-CUSTO TOTAL'!$K27,PARAMETROS!$E:AX,3,0)</f>
        <v>1602.86</v>
      </c>
      <c r="R27" s="442">
        <f>VLOOKUP('BANCO DADOS-CUSTO TOTAL'!$K27,PARAMETROS!$E:AY,4,0)</f>
        <v>0</v>
      </c>
      <c r="S27" s="442">
        <f>VLOOKUP('BANCO DADOS-CUSTO TOTAL'!$K27,PARAMETROS!$E:AZ,5,0)</f>
        <v>480.85799999999995</v>
      </c>
      <c r="T27" s="442">
        <f>VLOOKUP('BANCO DADOS-CUSTO TOTAL'!$K27,PARAMETROS!$E:BA,6,0)</f>
        <v>0</v>
      </c>
      <c r="U27" s="442">
        <f>VLOOKUP('BANCO DADOS-CUSTO TOTAL'!$K27,PARAMETROS!$E:BB,7,0)</f>
        <v>0</v>
      </c>
      <c r="V27" s="442">
        <f>VLOOKUP('BANCO DADOS-CUSTO TOTAL'!$K27,PARAMETROS!$E:BC,8,0)</f>
        <v>0</v>
      </c>
      <c r="W27" s="442">
        <f>VLOOKUP('BANCO DADOS-CUSTO TOTAL'!$K27,PARAMETROS!$E:BD,9,0)</f>
        <v>146.80740454545455</v>
      </c>
      <c r="X27" s="442">
        <f>VLOOKUP('BANCO DADOS-CUSTO TOTAL'!$K27,PARAMETROS!$E:BE,10,0)</f>
        <v>47.357227272727279</v>
      </c>
      <c r="Y27" s="443">
        <f t="shared" si="9"/>
        <v>2277.88</v>
      </c>
      <c r="Z27" s="456"/>
      <c r="AA27" s="444">
        <v>20</v>
      </c>
      <c r="AB27" s="445">
        <f t="shared" si="34"/>
        <v>0</v>
      </c>
      <c r="AC27" s="446">
        <f t="shared" si="35"/>
        <v>1518.5866666666666</v>
      </c>
      <c r="AD27" s="447">
        <f t="shared" si="36"/>
        <v>2277.88</v>
      </c>
      <c r="AE27" s="447">
        <f t="shared" si="37"/>
        <v>0</v>
      </c>
      <c r="AF27" s="443">
        <f>IF(J27="EFETIVO",VLOOKUP(K27,PARAMETROS!$E:AX,11,0),0)</f>
        <v>0</v>
      </c>
      <c r="AG27" s="443">
        <f>VLOOKUP(H27,'VA E VT - APOIO.LIMPEZA'!F:AX,14,0)</f>
        <v>0</v>
      </c>
      <c r="AH27" s="443">
        <f>VLOOKUP($H27,'VA E VT - APOIO.LIMPEZA'!$F:AY,20,0)</f>
        <v>0</v>
      </c>
      <c r="AI27" s="443">
        <f>IF($J27="EFETIVO",VLOOKUP($K27,PARAMETROS!$E:BA,14,0),0)</f>
        <v>0</v>
      </c>
      <c r="AJ27" s="443">
        <f>IF($J27="EFETIVO",VLOOKUP($K27,PARAMETROS!$E:BB,15,0),0)</f>
        <v>0</v>
      </c>
      <c r="AK27" s="443"/>
      <c r="AL27" s="443"/>
      <c r="AM27" s="443"/>
      <c r="AN27" s="443"/>
      <c r="AO27" s="448">
        <f t="shared" si="10"/>
        <v>0</v>
      </c>
      <c r="AP27" s="443">
        <f>IF($J27="EFETIVO",VLOOKUP($K27,PARAMETROS!$E:BH,20,0),0)</f>
        <v>0</v>
      </c>
      <c r="AQ27" s="446"/>
      <c r="AR27" s="443">
        <f>IF($J27="EFETIVO",VLOOKUP($K27,PARAMETROS!$E:BJ,22,0),0)</f>
        <v>0</v>
      </c>
      <c r="AS27" s="446"/>
      <c r="AT27" s="448">
        <f t="shared" si="11"/>
        <v>0</v>
      </c>
      <c r="AU27" s="448">
        <f>$AU$10*AC27</f>
        <v>558.83989333333329</v>
      </c>
      <c r="AV27" s="448">
        <f t="shared" si="13"/>
        <v>0</v>
      </c>
      <c r="AW27" s="448">
        <f t="shared" si="13"/>
        <v>0</v>
      </c>
      <c r="AX27" s="448">
        <f t="shared" si="13"/>
        <v>0</v>
      </c>
      <c r="AY27" s="448">
        <f t="shared" si="13"/>
        <v>0</v>
      </c>
      <c r="AZ27" s="448">
        <f t="shared" si="13"/>
        <v>0</v>
      </c>
      <c r="BA27" s="448">
        <f t="shared" si="13"/>
        <v>0</v>
      </c>
      <c r="BB27" s="448">
        <f t="shared" si="13"/>
        <v>0</v>
      </c>
      <c r="BC27" s="448">
        <f t="shared" si="14"/>
        <v>0</v>
      </c>
      <c r="BD27" s="448">
        <f t="shared" si="15"/>
        <v>0</v>
      </c>
      <c r="BE27" s="448">
        <f t="shared" si="15"/>
        <v>0</v>
      </c>
      <c r="BF27" s="448">
        <f t="shared" si="15"/>
        <v>0</v>
      </c>
      <c r="BG27" s="448">
        <f t="shared" si="15"/>
        <v>0</v>
      </c>
      <c r="BH27" s="448">
        <f t="shared" si="15"/>
        <v>0</v>
      </c>
      <c r="BI27" s="448">
        <f t="shared" si="16"/>
        <v>0</v>
      </c>
      <c r="BJ27" s="448">
        <f t="shared" si="17"/>
        <v>558.83000000000004</v>
      </c>
      <c r="BK27" s="448">
        <f t="shared" si="18"/>
        <v>0</v>
      </c>
      <c r="BL27" s="448">
        <f t="shared" si="19"/>
        <v>0</v>
      </c>
      <c r="BM27" s="448">
        <f t="shared" si="20"/>
        <v>0</v>
      </c>
      <c r="BN27" s="448">
        <f t="shared" si="21"/>
        <v>0</v>
      </c>
      <c r="BO27" s="448">
        <f t="shared" si="22"/>
        <v>0</v>
      </c>
      <c r="BP27" s="448"/>
      <c r="BQ27" s="448">
        <f t="shared" si="23"/>
        <v>0</v>
      </c>
      <c r="BR27" s="448">
        <f t="shared" si="24"/>
        <v>558.83000000000004</v>
      </c>
      <c r="BS27" s="448">
        <f t="shared" si="25"/>
        <v>0</v>
      </c>
      <c r="BT27" s="448">
        <f t="shared" si="26"/>
        <v>0</v>
      </c>
      <c r="BU27" s="448">
        <f t="shared" si="27"/>
        <v>196.52361666666667</v>
      </c>
      <c r="BV27" s="448">
        <f t="shared" si="28"/>
        <v>0</v>
      </c>
      <c r="BW27" s="448">
        <f t="shared" si="29"/>
        <v>196.52361666666667</v>
      </c>
      <c r="BX27" s="448">
        <f t="shared" si="30"/>
        <v>196.52361666666667</v>
      </c>
      <c r="BY27" s="448">
        <f t="shared" si="31"/>
        <v>2273.9402833333334</v>
      </c>
      <c r="BZ27" s="448">
        <f t="shared" si="32"/>
        <v>0</v>
      </c>
      <c r="CA27" s="448">
        <f t="shared" si="33"/>
        <v>2273.9402833333334</v>
      </c>
      <c r="CB27" s="449" t="s">
        <v>4044</v>
      </c>
    </row>
    <row r="28" spans="1:80" s="450" customFormat="1" ht="15.75" customHeight="1">
      <c r="A28" s="435">
        <v>1</v>
      </c>
      <c r="B28" s="435">
        <v>1</v>
      </c>
      <c r="C28" s="435" t="s">
        <v>3287</v>
      </c>
      <c r="D28" s="436">
        <f>VLOOKUP(C28,ISS!A:B,2,0)</f>
        <v>0.05</v>
      </c>
      <c r="E28" s="437">
        <f t="shared" si="8"/>
        <v>9.4600000000000004E-2</v>
      </c>
      <c r="F28" s="438">
        <v>13</v>
      </c>
      <c r="G28" s="439">
        <v>12353</v>
      </c>
      <c r="H28" s="440" t="s">
        <v>3946</v>
      </c>
      <c r="I28" s="435" t="s">
        <v>3848</v>
      </c>
      <c r="J28" s="102" t="s">
        <v>3521</v>
      </c>
      <c r="K28" s="435" t="str">
        <f t="shared" si="38"/>
        <v>Belo HorizonteVIGILANTE ARMADO - 12X36 DIURNO</v>
      </c>
      <c r="L28" s="441" t="s">
        <v>3882</v>
      </c>
      <c r="M28" s="451"/>
      <c r="N28" s="102"/>
      <c r="O28" s="101"/>
      <c r="P28" s="101"/>
      <c r="Q28" s="442">
        <f>VLOOKUP('BANCO DADOS-CUSTO TOTAL'!$K28,PARAMETROS!$E:AX,3,0)</f>
        <v>1602.86</v>
      </c>
      <c r="R28" s="442">
        <f>VLOOKUP('BANCO DADOS-CUSTO TOTAL'!$K28,PARAMETROS!$E:AY,4,0)</f>
        <v>0</v>
      </c>
      <c r="S28" s="442">
        <f>VLOOKUP('BANCO DADOS-CUSTO TOTAL'!$K28,PARAMETROS!$E:AZ,5,0)</f>
        <v>480.85799999999995</v>
      </c>
      <c r="T28" s="442">
        <f>VLOOKUP('BANCO DADOS-CUSTO TOTAL'!$K28,PARAMETROS!$E:BA,6,0)</f>
        <v>0</v>
      </c>
      <c r="U28" s="442">
        <f>VLOOKUP('BANCO DADOS-CUSTO TOTAL'!$K28,PARAMETROS!$E:BB,7,0)</f>
        <v>0</v>
      </c>
      <c r="V28" s="442">
        <f>VLOOKUP('BANCO DADOS-CUSTO TOTAL'!$K28,PARAMETROS!$E:BC,8,0)</f>
        <v>0</v>
      </c>
      <c r="W28" s="442">
        <f>VLOOKUP('BANCO DADOS-CUSTO TOTAL'!$K28,PARAMETROS!$E:BD,9,0)</f>
        <v>146.80740454545455</v>
      </c>
      <c r="X28" s="442">
        <f>VLOOKUP('BANCO DADOS-CUSTO TOTAL'!$K28,PARAMETROS!$E:BE,10,0)</f>
        <v>47.357227272727279</v>
      </c>
      <c r="Y28" s="443">
        <f t="shared" si="9"/>
        <v>2277.88</v>
      </c>
      <c r="Z28" s="456"/>
      <c r="AA28" s="444">
        <v>30</v>
      </c>
      <c r="AB28" s="445">
        <f t="shared" si="34"/>
        <v>30</v>
      </c>
      <c r="AC28" s="446">
        <f t="shared" si="35"/>
        <v>2277.88</v>
      </c>
      <c r="AD28" s="447">
        <f t="shared" si="36"/>
        <v>2277.88</v>
      </c>
      <c r="AE28" s="447">
        <f t="shared" si="37"/>
        <v>2277.88</v>
      </c>
      <c r="AF28" s="443">
        <f>IF(J28="EFETIVO",VLOOKUP(K28,PARAMETROS!$E:AX,11,0),0)</f>
        <v>112.9</v>
      </c>
      <c r="AG28" s="443">
        <f>VLOOKUP(H28,'VA E VT - APOIO.LIMPEZA'!F:AX,14,0)</f>
        <v>223.06049999999999</v>
      </c>
      <c r="AH28" s="443">
        <f>VLOOKUP($H28,'VA E VT - APOIO.LIMPEZA'!$F:AY,20,0)</f>
        <v>100.6784</v>
      </c>
      <c r="AI28" s="443">
        <f>IF($J28="EFETIVO",VLOOKUP($K28,PARAMETROS!$E:BA,14,0),0)</f>
        <v>91.08</v>
      </c>
      <c r="AJ28" s="443">
        <f>IF($J28="EFETIVO",VLOOKUP($K28,PARAMETROS!$E:BB,15,0),0)</f>
        <v>17.03</v>
      </c>
      <c r="AK28" s="443"/>
      <c r="AL28" s="443"/>
      <c r="AM28" s="443"/>
      <c r="AN28" s="443"/>
      <c r="AO28" s="448">
        <f t="shared" si="10"/>
        <v>544.74890000000005</v>
      </c>
      <c r="AP28" s="443">
        <f>IF($J28="EFETIVO",VLOOKUP($K28,PARAMETROS!$E:BH,20,0),0)</f>
        <v>62.37</v>
      </c>
      <c r="AQ28" s="446"/>
      <c r="AR28" s="443">
        <f>IF($J28="EFETIVO",VLOOKUP($K28,PARAMETROS!$E:BJ,22,0),0)</f>
        <v>58.53</v>
      </c>
      <c r="AS28" s="446"/>
      <c r="AT28" s="448">
        <f t="shared" si="11"/>
        <v>120.9</v>
      </c>
      <c r="AU28" s="448">
        <f t="shared" si="12"/>
        <v>838.25984000000005</v>
      </c>
      <c r="AV28" s="448">
        <f t="shared" si="13"/>
        <v>4.1001840000000005</v>
      </c>
      <c r="AW28" s="448">
        <f t="shared" si="13"/>
        <v>11.3894</v>
      </c>
      <c r="AX28" s="448">
        <f t="shared" si="13"/>
        <v>0.91115200000000007</v>
      </c>
      <c r="AY28" s="448">
        <f t="shared" si="13"/>
        <v>0.45557600000000004</v>
      </c>
      <c r="AZ28" s="448">
        <f t="shared" si="13"/>
        <v>7.9725800000000007</v>
      </c>
      <c r="BA28" s="448">
        <f t="shared" si="13"/>
        <v>2.9339094400000003</v>
      </c>
      <c r="BB28" s="448">
        <f t="shared" si="13"/>
        <v>3.8723960000000002</v>
      </c>
      <c r="BC28" s="448">
        <f t="shared" si="14"/>
        <v>27.53</v>
      </c>
      <c r="BD28" s="448">
        <f t="shared" si="15"/>
        <v>31.662531999999999</v>
      </c>
      <c r="BE28" s="448">
        <f t="shared" si="15"/>
        <v>19.134191999999999</v>
      </c>
      <c r="BF28" s="448">
        <f t="shared" si="15"/>
        <v>7.517004</v>
      </c>
      <c r="BG28" s="448">
        <f t="shared" si="15"/>
        <v>0</v>
      </c>
      <c r="BH28" s="448">
        <f t="shared" si="15"/>
        <v>21.459451904000002</v>
      </c>
      <c r="BI28" s="448">
        <f t="shared" si="16"/>
        <v>79.77</v>
      </c>
      <c r="BJ28" s="448">
        <f t="shared" si="17"/>
        <v>949.66</v>
      </c>
      <c r="BK28" s="448">
        <f t="shared" si="18"/>
        <v>189.74740400000002</v>
      </c>
      <c r="BL28" s="448">
        <f t="shared" si="19"/>
        <v>253.07246800000001</v>
      </c>
      <c r="BM28" s="448">
        <f t="shared" si="20"/>
        <v>69.827044672</v>
      </c>
      <c r="BN28" s="448">
        <f t="shared" si="21"/>
        <v>93.130668224000004</v>
      </c>
      <c r="BO28" s="448">
        <f t="shared" si="22"/>
        <v>97.94883999999999</v>
      </c>
      <c r="BP28" s="448"/>
      <c r="BQ28" s="448">
        <f t="shared" si="23"/>
        <v>703.72</v>
      </c>
      <c r="BR28" s="448">
        <f t="shared" si="24"/>
        <v>1653.38</v>
      </c>
      <c r="BS28" s="448">
        <f t="shared" si="25"/>
        <v>288.66000000000003</v>
      </c>
      <c r="BT28" s="448">
        <f t="shared" si="26"/>
        <v>346.26</v>
      </c>
      <c r="BU28" s="448">
        <f t="shared" si="27"/>
        <v>428.35910194000002</v>
      </c>
      <c r="BV28" s="448">
        <f t="shared" si="28"/>
        <v>66.571912000000012</v>
      </c>
      <c r="BW28" s="448">
        <f t="shared" si="29"/>
        <v>494.93101394000001</v>
      </c>
      <c r="BX28" s="448">
        <f t="shared" si="30"/>
        <v>1129.85101394</v>
      </c>
      <c r="BY28" s="448">
        <f t="shared" si="31"/>
        <v>5023.0399139399997</v>
      </c>
      <c r="BZ28" s="448">
        <f t="shared" si="32"/>
        <v>703.72</v>
      </c>
      <c r="CA28" s="448">
        <f t="shared" si="33"/>
        <v>5726.7599139399999</v>
      </c>
      <c r="CB28" s="449"/>
    </row>
    <row r="29" spans="1:80" s="450" customFormat="1" ht="15.75" customHeight="1">
      <c r="A29" s="435">
        <v>1</v>
      </c>
      <c r="B29" s="435">
        <v>1</v>
      </c>
      <c r="C29" s="435" t="s">
        <v>3287</v>
      </c>
      <c r="D29" s="436">
        <f>VLOOKUP(C29,ISS!A:B,2,0)</f>
        <v>0.05</v>
      </c>
      <c r="E29" s="437">
        <f t="shared" si="8"/>
        <v>9.4600000000000004E-2</v>
      </c>
      <c r="F29" s="438">
        <v>14</v>
      </c>
      <c r="G29" s="439">
        <v>12354</v>
      </c>
      <c r="H29" s="440" t="s">
        <v>3947</v>
      </c>
      <c r="I29" s="435" t="s">
        <v>3848</v>
      </c>
      <c r="J29" s="102" t="s">
        <v>3521</v>
      </c>
      <c r="K29" s="435" t="str">
        <f t="shared" si="38"/>
        <v>Belo HorizonteVIGILANTE ARMADO - 12X36 DIURNO</v>
      </c>
      <c r="L29" s="441" t="s">
        <v>3882</v>
      </c>
      <c r="M29" s="451"/>
      <c r="N29" s="102"/>
      <c r="O29" s="101"/>
      <c r="P29" s="101"/>
      <c r="Q29" s="442">
        <f>VLOOKUP('BANCO DADOS-CUSTO TOTAL'!$K29,PARAMETROS!$E:AX,3,0)</f>
        <v>1602.86</v>
      </c>
      <c r="R29" s="442">
        <f>VLOOKUP('BANCO DADOS-CUSTO TOTAL'!$K29,PARAMETROS!$E:AY,4,0)</f>
        <v>0</v>
      </c>
      <c r="S29" s="442">
        <f>VLOOKUP('BANCO DADOS-CUSTO TOTAL'!$K29,PARAMETROS!$E:AZ,5,0)</f>
        <v>480.85799999999995</v>
      </c>
      <c r="T29" s="442">
        <f>VLOOKUP('BANCO DADOS-CUSTO TOTAL'!$K29,PARAMETROS!$E:BA,6,0)</f>
        <v>0</v>
      </c>
      <c r="U29" s="442">
        <f>VLOOKUP('BANCO DADOS-CUSTO TOTAL'!$K29,PARAMETROS!$E:BB,7,0)</f>
        <v>0</v>
      </c>
      <c r="V29" s="442">
        <f>VLOOKUP('BANCO DADOS-CUSTO TOTAL'!$K29,PARAMETROS!$E:BC,8,0)</f>
        <v>0</v>
      </c>
      <c r="W29" s="442">
        <f>VLOOKUP('BANCO DADOS-CUSTO TOTAL'!$K29,PARAMETROS!$E:BD,9,0)</f>
        <v>146.80740454545455</v>
      </c>
      <c r="X29" s="442">
        <f>VLOOKUP('BANCO DADOS-CUSTO TOTAL'!$K29,PARAMETROS!$E:BE,10,0)</f>
        <v>47.357227272727279</v>
      </c>
      <c r="Y29" s="443">
        <f t="shared" si="9"/>
        <v>2277.88</v>
      </c>
      <c r="Z29" s="456"/>
      <c r="AA29" s="444">
        <v>30</v>
      </c>
      <c r="AB29" s="445">
        <f t="shared" si="34"/>
        <v>30</v>
      </c>
      <c r="AC29" s="446">
        <f t="shared" si="35"/>
        <v>2277.88</v>
      </c>
      <c r="AD29" s="447">
        <f t="shared" si="36"/>
        <v>2277.88</v>
      </c>
      <c r="AE29" s="447">
        <f t="shared" si="37"/>
        <v>2277.88</v>
      </c>
      <c r="AF29" s="443">
        <f>IF(J29="EFETIVO",VLOOKUP(K29,PARAMETROS!$E:AX,11,0),0)</f>
        <v>112.9</v>
      </c>
      <c r="AG29" s="443">
        <f>VLOOKUP(H29,'VA E VT - APOIO.LIMPEZA'!F:AX,14,0)</f>
        <v>223.06049999999999</v>
      </c>
      <c r="AH29" s="443">
        <f>VLOOKUP($H29,'VA E VT - APOIO.LIMPEZA'!$F:AY,20,0)</f>
        <v>100.6784</v>
      </c>
      <c r="AI29" s="443">
        <f>IF($J29="EFETIVO",VLOOKUP($K29,PARAMETROS!$E:BA,14,0),0)</f>
        <v>91.08</v>
      </c>
      <c r="AJ29" s="443">
        <f>IF($J29="EFETIVO",VLOOKUP($K29,PARAMETROS!$E:BB,15,0),0)</f>
        <v>17.03</v>
      </c>
      <c r="AK29" s="443"/>
      <c r="AL29" s="443"/>
      <c r="AM29" s="443"/>
      <c r="AN29" s="443"/>
      <c r="AO29" s="448">
        <f t="shared" si="10"/>
        <v>544.74890000000005</v>
      </c>
      <c r="AP29" s="443">
        <f>IF($J29="EFETIVO",VLOOKUP($K29,PARAMETROS!$E:BH,20,0),0)</f>
        <v>62.37</v>
      </c>
      <c r="AQ29" s="446"/>
      <c r="AR29" s="443">
        <f>IF($J29="EFETIVO",VLOOKUP($K29,PARAMETROS!$E:BJ,22,0),0)</f>
        <v>58.53</v>
      </c>
      <c r="AS29" s="446"/>
      <c r="AT29" s="448">
        <f t="shared" si="11"/>
        <v>120.9</v>
      </c>
      <c r="AU29" s="448">
        <f t="shared" si="12"/>
        <v>838.25984000000005</v>
      </c>
      <c r="AV29" s="448">
        <f t="shared" si="13"/>
        <v>4.1001840000000005</v>
      </c>
      <c r="AW29" s="448">
        <f t="shared" si="13"/>
        <v>11.3894</v>
      </c>
      <c r="AX29" s="448">
        <f t="shared" si="13"/>
        <v>0.91115200000000007</v>
      </c>
      <c r="AY29" s="448">
        <f t="shared" si="13"/>
        <v>0.45557600000000004</v>
      </c>
      <c r="AZ29" s="448">
        <f t="shared" si="13"/>
        <v>7.9725800000000007</v>
      </c>
      <c r="BA29" s="448">
        <f t="shared" si="13"/>
        <v>2.9339094400000003</v>
      </c>
      <c r="BB29" s="448">
        <f t="shared" si="13"/>
        <v>3.8723960000000002</v>
      </c>
      <c r="BC29" s="448">
        <f t="shared" si="14"/>
        <v>27.53</v>
      </c>
      <c r="BD29" s="448">
        <f t="shared" si="15"/>
        <v>31.662531999999999</v>
      </c>
      <c r="BE29" s="448">
        <f t="shared" si="15"/>
        <v>19.134191999999999</v>
      </c>
      <c r="BF29" s="448">
        <f t="shared" si="15"/>
        <v>7.517004</v>
      </c>
      <c r="BG29" s="448">
        <f t="shared" si="15"/>
        <v>0</v>
      </c>
      <c r="BH29" s="448">
        <f t="shared" si="15"/>
        <v>21.459451904000002</v>
      </c>
      <c r="BI29" s="448">
        <f t="shared" si="16"/>
        <v>79.77</v>
      </c>
      <c r="BJ29" s="448">
        <f t="shared" si="17"/>
        <v>949.66</v>
      </c>
      <c r="BK29" s="448">
        <f t="shared" si="18"/>
        <v>189.74740400000002</v>
      </c>
      <c r="BL29" s="448">
        <f t="shared" si="19"/>
        <v>253.07246800000001</v>
      </c>
      <c r="BM29" s="448">
        <f t="shared" si="20"/>
        <v>69.827044672</v>
      </c>
      <c r="BN29" s="448">
        <f t="shared" si="21"/>
        <v>93.130668224000004</v>
      </c>
      <c r="BO29" s="448">
        <f t="shared" si="22"/>
        <v>97.94883999999999</v>
      </c>
      <c r="BP29" s="448"/>
      <c r="BQ29" s="448">
        <f t="shared" si="23"/>
        <v>703.72</v>
      </c>
      <c r="BR29" s="448">
        <f t="shared" si="24"/>
        <v>1653.38</v>
      </c>
      <c r="BS29" s="448">
        <f t="shared" si="25"/>
        <v>288.66000000000003</v>
      </c>
      <c r="BT29" s="448">
        <f t="shared" si="26"/>
        <v>346.26</v>
      </c>
      <c r="BU29" s="448">
        <f t="shared" si="27"/>
        <v>428.35910194000002</v>
      </c>
      <c r="BV29" s="448">
        <f t="shared" si="28"/>
        <v>66.571912000000012</v>
      </c>
      <c r="BW29" s="448">
        <f t="shared" si="29"/>
        <v>494.93101394000001</v>
      </c>
      <c r="BX29" s="448">
        <f t="shared" si="30"/>
        <v>1129.85101394</v>
      </c>
      <c r="BY29" s="448">
        <f t="shared" si="31"/>
        <v>5023.0399139399997</v>
      </c>
      <c r="BZ29" s="448">
        <f t="shared" si="32"/>
        <v>703.72</v>
      </c>
      <c r="CA29" s="448">
        <f t="shared" si="33"/>
        <v>5726.7599139399999</v>
      </c>
      <c r="CB29" s="449"/>
    </row>
    <row r="30" spans="1:80" s="450" customFormat="1" ht="15.75" customHeight="1">
      <c r="A30" s="435">
        <v>1</v>
      </c>
      <c r="B30" s="435">
        <v>1</v>
      </c>
      <c r="C30" s="435" t="s">
        <v>3287</v>
      </c>
      <c r="D30" s="436">
        <f>VLOOKUP(C30,ISS!A:B,2,0)</f>
        <v>0.05</v>
      </c>
      <c r="E30" s="437">
        <f t="shared" si="8"/>
        <v>9.4600000000000004E-2</v>
      </c>
      <c r="F30" s="438">
        <v>15</v>
      </c>
      <c r="G30" s="439">
        <v>12355</v>
      </c>
      <c r="H30" s="440" t="s">
        <v>3948</v>
      </c>
      <c r="I30" s="435" t="s">
        <v>3848</v>
      </c>
      <c r="J30" s="102" t="s">
        <v>3521</v>
      </c>
      <c r="K30" s="435" t="str">
        <f t="shared" si="38"/>
        <v>Belo HorizonteVIGILANTE ARMADO - 12X36 DIURNO</v>
      </c>
      <c r="L30" s="441" t="s">
        <v>3882</v>
      </c>
      <c r="M30" s="451"/>
      <c r="N30" s="102"/>
      <c r="O30" s="101"/>
      <c r="P30" s="101"/>
      <c r="Q30" s="442">
        <f>VLOOKUP('BANCO DADOS-CUSTO TOTAL'!$K30,PARAMETROS!$E:AX,3,0)</f>
        <v>1602.86</v>
      </c>
      <c r="R30" s="442">
        <f>VLOOKUP('BANCO DADOS-CUSTO TOTAL'!$K30,PARAMETROS!$E:AY,4,0)</f>
        <v>0</v>
      </c>
      <c r="S30" s="442">
        <f>VLOOKUP('BANCO DADOS-CUSTO TOTAL'!$K30,PARAMETROS!$E:AZ,5,0)</f>
        <v>480.85799999999995</v>
      </c>
      <c r="T30" s="442">
        <f>VLOOKUP('BANCO DADOS-CUSTO TOTAL'!$K30,PARAMETROS!$E:BA,6,0)</f>
        <v>0</v>
      </c>
      <c r="U30" s="442">
        <f>VLOOKUP('BANCO DADOS-CUSTO TOTAL'!$K30,PARAMETROS!$E:BB,7,0)</f>
        <v>0</v>
      </c>
      <c r="V30" s="442">
        <f>VLOOKUP('BANCO DADOS-CUSTO TOTAL'!$K30,PARAMETROS!$E:BC,8,0)</f>
        <v>0</v>
      </c>
      <c r="W30" s="442">
        <f>VLOOKUP('BANCO DADOS-CUSTO TOTAL'!$K30,PARAMETROS!$E:BD,9,0)</f>
        <v>146.80740454545455</v>
      </c>
      <c r="X30" s="442">
        <f>VLOOKUP('BANCO DADOS-CUSTO TOTAL'!$K30,PARAMETROS!$E:BE,10,0)</f>
        <v>47.357227272727279</v>
      </c>
      <c r="Y30" s="443">
        <f t="shared" si="9"/>
        <v>2277.88</v>
      </c>
      <c r="Z30" s="456"/>
      <c r="AA30" s="444">
        <v>30</v>
      </c>
      <c r="AB30" s="445">
        <f t="shared" si="34"/>
        <v>30</v>
      </c>
      <c r="AC30" s="446">
        <f t="shared" si="35"/>
        <v>2277.88</v>
      </c>
      <c r="AD30" s="447">
        <f t="shared" si="36"/>
        <v>2277.88</v>
      </c>
      <c r="AE30" s="447">
        <f t="shared" si="37"/>
        <v>2277.88</v>
      </c>
      <c r="AF30" s="443">
        <f>IF(J30="EFETIVO",VLOOKUP(K30,PARAMETROS!$E:AX,11,0),0)</f>
        <v>112.9</v>
      </c>
      <c r="AG30" s="443">
        <f>VLOOKUP(H30,'VA E VT - APOIO.LIMPEZA'!F:AX,14,0)</f>
        <v>223.06049999999999</v>
      </c>
      <c r="AH30" s="443">
        <f>VLOOKUP($H30,'VA E VT - APOIO.LIMPEZA'!$F:AY,20,0)</f>
        <v>100.6784</v>
      </c>
      <c r="AI30" s="443">
        <f>IF($J30="EFETIVO",VLOOKUP($K30,PARAMETROS!$E:BA,14,0),0)</f>
        <v>91.08</v>
      </c>
      <c r="AJ30" s="443">
        <f>IF($J30="EFETIVO",VLOOKUP($K30,PARAMETROS!$E:BB,15,0),0)</f>
        <v>17.03</v>
      </c>
      <c r="AK30" s="443"/>
      <c r="AL30" s="443"/>
      <c r="AM30" s="443"/>
      <c r="AN30" s="443"/>
      <c r="AO30" s="448">
        <f t="shared" si="10"/>
        <v>544.74890000000005</v>
      </c>
      <c r="AP30" s="443">
        <f>IF($J30="EFETIVO",VLOOKUP($K30,PARAMETROS!$E:BH,20,0),0)</f>
        <v>62.37</v>
      </c>
      <c r="AQ30" s="446"/>
      <c r="AR30" s="443">
        <f>IF($J30="EFETIVO",VLOOKUP($K30,PARAMETROS!$E:BJ,22,0),0)</f>
        <v>58.53</v>
      </c>
      <c r="AS30" s="446"/>
      <c r="AT30" s="448">
        <f t="shared" si="11"/>
        <v>120.9</v>
      </c>
      <c r="AU30" s="448">
        <f t="shared" si="12"/>
        <v>838.25984000000005</v>
      </c>
      <c r="AV30" s="448">
        <f t="shared" si="13"/>
        <v>4.1001840000000005</v>
      </c>
      <c r="AW30" s="448">
        <f t="shared" si="13"/>
        <v>11.3894</v>
      </c>
      <c r="AX30" s="448">
        <f t="shared" si="13"/>
        <v>0.91115200000000007</v>
      </c>
      <c r="AY30" s="448">
        <f t="shared" si="13"/>
        <v>0.45557600000000004</v>
      </c>
      <c r="AZ30" s="448">
        <f t="shared" si="13"/>
        <v>7.9725800000000007</v>
      </c>
      <c r="BA30" s="448">
        <f t="shared" si="13"/>
        <v>2.9339094400000003</v>
      </c>
      <c r="BB30" s="448">
        <f t="shared" si="13"/>
        <v>3.8723960000000002</v>
      </c>
      <c r="BC30" s="448">
        <f t="shared" si="14"/>
        <v>27.53</v>
      </c>
      <c r="BD30" s="448">
        <f t="shared" si="15"/>
        <v>31.662531999999999</v>
      </c>
      <c r="BE30" s="448">
        <f t="shared" si="15"/>
        <v>19.134191999999999</v>
      </c>
      <c r="BF30" s="448">
        <f t="shared" si="15"/>
        <v>7.517004</v>
      </c>
      <c r="BG30" s="448">
        <f t="shared" si="15"/>
        <v>0</v>
      </c>
      <c r="BH30" s="448">
        <f t="shared" si="15"/>
        <v>21.459451904000002</v>
      </c>
      <c r="BI30" s="448">
        <f t="shared" si="16"/>
        <v>79.77</v>
      </c>
      <c r="BJ30" s="448">
        <f t="shared" si="17"/>
        <v>949.66</v>
      </c>
      <c r="BK30" s="448">
        <f t="shared" si="18"/>
        <v>189.74740400000002</v>
      </c>
      <c r="BL30" s="448">
        <f t="shared" si="19"/>
        <v>253.07246800000001</v>
      </c>
      <c r="BM30" s="448">
        <f t="shared" si="20"/>
        <v>69.827044672</v>
      </c>
      <c r="BN30" s="448">
        <f t="shared" si="21"/>
        <v>93.130668224000004</v>
      </c>
      <c r="BO30" s="448">
        <f t="shared" si="22"/>
        <v>97.94883999999999</v>
      </c>
      <c r="BP30" s="448"/>
      <c r="BQ30" s="448">
        <f t="shared" si="23"/>
        <v>703.72</v>
      </c>
      <c r="BR30" s="448">
        <f t="shared" si="24"/>
        <v>1653.38</v>
      </c>
      <c r="BS30" s="448">
        <f t="shared" si="25"/>
        <v>288.66000000000003</v>
      </c>
      <c r="BT30" s="448">
        <f t="shared" si="26"/>
        <v>346.26</v>
      </c>
      <c r="BU30" s="448">
        <f t="shared" si="27"/>
        <v>428.35910194000002</v>
      </c>
      <c r="BV30" s="448">
        <f t="shared" si="28"/>
        <v>66.571912000000012</v>
      </c>
      <c r="BW30" s="448">
        <f t="shared" si="29"/>
        <v>494.93101394000001</v>
      </c>
      <c r="BX30" s="448">
        <f t="shared" si="30"/>
        <v>1129.85101394</v>
      </c>
      <c r="BY30" s="448">
        <f t="shared" si="31"/>
        <v>5023.0399139399997</v>
      </c>
      <c r="BZ30" s="448">
        <f t="shared" si="32"/>
        <v>703.72</v>
      </c>
      <c r="CA30" s="448">
        <f t="shared" si="33"/>
        <v>5726.7599139399999</v>
      </c>
      <c r="CB30" s="449"/>
    </row>
    <row r="31" spans="1:80" s="450" customFormat="1" ht="15.75" customHeight="1">
      <c r="A31" s="435">
        <v>1</v>
      </c>
      <c r="B31" s="435">
        <v>1</v>
      </c>
      <c r="C31" s="435" t="s">
        <v>3287</v>
      </c>
      <c r="D31" s="436">
        <f>VLOOKUP(C31,ISS!A:B,2,0)</f>
        <v>0.05</v>
      </c>
      <c r="E31" s="437">
        <f t="shared" si="8"/>
        <v>9.4600000000000004E-2</v>
      </c>
      <c r="F31" s="438">
        <v>16</v>
      </c>
      <c r="G31" s="439">
        <v>12356</v>
      </c>
      <c r="H31" s="440" t="s">
        <v>3949</v>
      </c>
      <c r="I31" s="435" t="s">
        <v>3848</v>
      </c>
      <c r="J31" s="102" t="s">
        <v>3521</v>
      </c>
      <c r="K31" s="435" t="str">
        <f t="shared" si="38"/>
        <v>Belo HorizonteVIGILANTE ARMADO - 12X36 DIURNO</v>
      </c>
      <c r="L31" s="441" t="s">
        <v>3882</v>
      </c>
      <c r="M31" s="451"/>
      <c r="N31" s="102"/>
      <c r="O31" s="101"/>
      <c r="P31" s="101"/>
      <c r="Q31" s="442">
        <f>VLOOKUP('BANCO DADOS-CUSTO TOTAL'!$K31,PARAMETROS!$E:AX,3,0)</f>
        <v>1602.86</v>
      </c>
      <c r="R31" s="442">
        <f>VLOOKUP('BANCO DADOS-CUSTO TOTAL'!$K31,PARAMETROS!$E:AY,4,0)</f>
        <v>0</v>
      </c>
      <c r="S31" s="442">
        <f>VLOOKUP('BANCO DADOS-CUSTO TOTAL'!$K31,PARAMETROS!$E:AZ,5,0)</f>
        <v>480.85799999999995</v>
      </c>
      <c r="T31" s="442">
        <f>VLOOKUP('BANCO DADOS-CUSTO TOTAL'!$K31,PARAMETROS!$E:BA,6,0)</f>
        <v>0</v>
      </c>
      <c r="U31" s="442">
        <f>VLOOKUP('BANCO DADOS-CUSTO TOTAL'!$K31,PARAMETROS!$E:BB,7,0)</f>
        <v>0</v>
      </c>
      <c r="V31" s="442">
        <f>VLOOKUP('BANCO DADOS-CUSTO TOTAL'!$K31,PARAMETROS!$E:BC,8,0)</f>
        <v>0</v>
      </c>
      <c r="W31" s="442">
        <f>VLOOKUP('BANCO DADOS-CUSTO TOTAL'!$K31,PARAMETROS!$E:BD,9,0)</f>
        <v>146.80740454545455</v>
      </c>
      <c r="X31" s="442">
        <f>VLOOKUP('BANCO DADOS-CUSTO TOTAL'!$K31,PARAMETROS!$E:BE,10,0)</f>
        <v>47.357227272727279</v>
      </c>
      <c r="Y31" s="443">
        <f t="shared" si="9"/>
        <v>2277.88</v>
      </c>
      <c r="Z31" s="456"/>
      <c r="AA31" s="444">
        <v>30</v>
      </c>
      <c r="AB31" s="445">
        <f t="shared" si="34"/>
        <v>30</v>
      </c>
      <c r="AC31" s="446">
        <f t="shared" si="35"/>
        <v>2277.88</v>
      </c>
      <c r="AD31" s="447">
        <f t="shared" si="36"/>
        <v>2277.88</v>
      </c>
      <c r="AE31" s="447">
        <f t="shared" si="37"/>
        <v>2277.88</v>
      </c>
      <c r="AF31" s="443">
        <f>IF(J31="EFETIVO",VLOOKUP(K31,PARAMETROS!$E:AX,11,0),0)</f>
        <v>112.9</v>
      </c>
      <c r="AG31" s="443">
        <f>VLOOKUP(H31,'VA E VT - APOIO.LIMPEZA'!F:AX,14,0)</f>
        <v>223.06049999999999</v>
      </c>
      <c r="AH31" s="443">
        <f>VLOOKUP($H31,'VA E VT - APOIO.LIMPEZA'!$F:AY,20,0)</f>
        <v>100.6784</v>
      </c>
      <c r="AI31" s="443">
        <f>IF($J31="EFETIVO",VLOOKUP($K31,PARAMETROS!$E:BA,14,0),0)</f>
        <v>91.08</v>
      </c>
      <c r="AJ31" s="443">
        <f>IF($J31="EFETIVO",VLOOKUP($K31,PARAMETROS!$E:BB,15,0),0)</f>
        <v>17.03</v>
      </c>
      <c r="AK31" s="443"/>
      <c r="AL31" s="443"/>
      <c r="AM31" s="443"/>
      <c r="AN31" s="443"/>
      <c r="AO31" s="448">
        <f t="shared" si="10"/>
        <v>544.74890000000005</v>
      </c>
      <c r="AP31" s="443">
        <f>IF($J31="EFETIVO",VLOOKUP($K31,PARAMETROS!$E:BH,20,0),0)</f>
        <v>62.37</v>
      </c>
      <c r="AQ31" s="446"/>
      <c r="AR31" s="443">
        <f>IF($J31="EFETIVO",VLOOKUP($K31,PARAMETROS!$E:BJ,22,0),0)</f>
        <v>58.53</v>
      </c>
      <c r="AS31" s="446"/>
      <c r="AT31" s="448">
        <f t="shared" si="11"/>
        <v>120.9</v>
      </c>
      <c r="AU31" s="448">
        <f t="shared" si="12"/>
        <v>838.25984000000005</v>
      </c>
      <c r="AV31" s="448">
        <f t="shared" si="13"/>
        <v>4.1001840000000005</v>
      </c>
      <c r="AW31" s="448">
        <f t="shared" si="13"/>
        <v>11.3894</v>
      </c>
      <c r="AX31" s="448">
        <f t="shared" si="13"/>
        <v>0.91115200000000007</v>
      </c>
      <c r="AY31" s="448">
        <f t="shared" si="13"/>
        <v>0.45557600000000004</v>
      </c>
      <c r="AZ31" s="448">
        <f t="shared" si="13"/>
        <v>7.9725800000000007</v>
      </c>
      <c r="BA31" s="448">
        <f t="shared" si="13"/>
        <v>2.9339094400000003</v>
      </c>
      <c r="BB31" s="448">
        <f t="shared" si="13"/>
        <v>3.8723960000000002</v>
      </c>
      <c r="BC31" s="448">
        <f t="shared" si="14"/>
        <v>27.53</v>
      </c>
      <c r="BD31" s="448">
        <f t="shared" si="15"/>
        <v>31.662531999999999</v>
      </c>
      <c r="BE31" s="448">
        <f t="shared" si="15"/>
        <v>19.134191999999999</v>
      </c>
      <c r="BF31" s="448">
        <f t="shared" si="15"/>
        <v>7.517004</v>
      </c>
      <c r="BG31" s="448">
        <f t="shared" si="15"/>
        <v>0</v>
      </c>
      <c r="BH31" s="448">
        <f t="shared" si="15"/>
        <v>21.459451904000002</v>
      </c>
      <c r="BI31" s="448">
        <f t="shared" si="16"/>
        <v>79.77</v>
      </c>
      <c r="BJ31" s="448">
        <f t="shared" si="17"/>
        <v>949.66</v>
      </c>
      <c r="BK31" s="448">
        <f t="shared" si="18"/>
        <v>189.74740400000002</v>
      </c>
      <c r="BL31" s="448">
        <f t="shared" si="19"/>
        <v>253.07246800000001</v>
      </c>
      <c r="BM31" s="448">
        <f t="shared" si="20"/>
        <v>69.827044672</v>
      </c>
      <c r="BN31" s="448">
        <f t="shared" si="21"/>
        <v>93.130668224000004</v>
      </c>
      <c r="BO31" s="448">
        <f t="shared" si="22"/>
        <v>97.94883999999999</v>
      </c>
      <c r="BP31" s="448"/>
      <c r="BQ31" s="448">
        <f t="shared" si="23"/>
        <v>703.72</v>
      </c>
      <c r="BR31" s="448">
        <f t="shared" si="24"/>
        <v>1653.38</v>
      </c>
      <c r="BS31" s="448">
        <f t="shared" si="25"/>
        <v>288.66000000000003</v>
      </c>
      <c r="BT31" s="448">
        <f t="shared" si="26"/>
        <v>346.26</v>
      </c>
      <c r="BU31" s="448">
        <f t="shared" si="27"/>
        <v>428.35910194000002</v>
      </c>
      <c r="BV31" s="448">
        <f t="shared" si="28"/>
        <v>66.571912000000012</v>
      </c>
      <c r="BW31" s="448">
        <f t="shared" si="29"/>
        <v>494.93101394000001</v>
      </c>
      <c r="BX31" s="448">
        <f t="shared" si="30"/>
        <v>1129.85101394</v>
      </c>
      <c r="BY31" s="448">
        <f t="shared" si="31"/>
        <v>5023.0399139399997</v>
      </c>
      <c r="BZ31" s="448">
        <f t="shared" si="32"/>
        <v>703.72</v>
      </c>
      <c r="CA31" s="448">
        <f t="shared" si="33"/>
        <v>5726.7599139399999</v>
      </c>
      <c r="CB31" s="449"/>
    </row>
    <row r="32" spans="1:80" s="450" customFormat="1" ht="15.75" customHeight="1">
      <c r="A32" s="435">
        <v>1</v>
      </c>
      <c r="B32" s="435">
        <v>1</v>
      </c>
      <c r="C32" s="435" t="s">
        <v>3287</v>
      </c>
      <c r="D32" s="436">
        <f>VLOOKUP(C32,ISS!A:B,2,0)</f>
        <v>0.05</v>
      </c>
      <c r="E32" s="437">
        <f t="shared" si="8"/>
        <v>9.4600000000000004E-2</v>
      </c>
      <c r="F32" s="438">
        <v>17</v>
      </c>
      <c r="G32" s="439">
        <v>12357</v>
      </c>
      <c r="H32" s="440" t="s">
        <v>3950</v>
      </c>
      <c r="I32" s="435" t="s">
        <v>3848</v>
      </c>
      <c r="J32" s="102" t="s">
        <v>3521</v>
      </c>
      <c r="K32" s="435" t="str">
        <f t="shared" si="38"/>
        <v>Belo HorizonteVIGILANTE ARMADO - 12X36 DIURNO</v>
      </c>
      <c r="L32" s="441" t="s">
        <v>3882</v>
      </c>
      <c r="M32" s="451"/>
      <c r="N32" s="102"/>
      <c r="O32" s="101"/>
      <c r="P32" s="101"/>
      <c r="Q32" s="442">
        <f>VLOOKUP('BANCO DADOS-CUSTO TOTAL'!$K32,PARAMETROS!$E:AX,3,0)</f>
        <v>1602.86</v>
      </c>
      <c r="R32" s="442">
        <f>VLOOKUP('BANCO DADOS-CUSTO TOTAL'!$K32,PARAMETROS!$E:AY,4,0)</f>
        <v>0</v>
      </c>
      <c r="S32" s="442">
        <f>VLOOKUP('BANCO DADOS-CUSTO TOTAL'!$K32,PARAMETROS!$E:AZ,5,0)</f>
        <v>480.85799999999995</v>
      </c>
      <c r="T32" s="442">
        <f>VLOOKUP('BANCO DADOS-CUSTO TOTAL'!$K32,PARAMETROS!$E:BA,6,0)</f>
        <v>0</v>
      </c>
      <c r="U32" s="442">
        <f>VLOOKUP('BANCO DADOS-CUSTO TOTAL'!$K32,PARAMETROS!$E:BB,7,0)</f>
        <v>0</v>
      </c>
      <c r="V32" s="442">
        <f>VLOOKUP('BANCO DADOS-CUSTO TOTAL'!$K32,PARAMETROS!$E:BC,8,0)</f>
        <v>0</v>
      </c>
      <c r="W32" s="442">
        <f>VLOOKUP('BANCO DADOS-CUSTO TOTAL'!$K32,PARAMETROS!$E:BD,9,0)</f>
        <v>146.80740454545455</v>
      </c>
      <c r="X32" s="442">
        <f>VLOOKUP('BANCO DADOS-CUSTO TOTAL'!$K32,PARAMETROS!$E:BE,10,0)</f>
        <v>47.357227272727279</v>
      </c>
      <c r="Y32" s="443">
        <f t="shared" si="9"/>
        <v>2277.88</v>
      </c>
      <c r="Z32" s="456"/>
      <c r="AA32" s="444">
        <v>30</v>
      </c>
      <c r="AB32" s="445">
        <f t="shared" si="34"/>
        <v>30</v>
      </c>
      <c r="AC32" s="446">
        <f t="shared" si="35"/>
        <v>2277.88</v>
      </c>
      <c r="AD32" s="447">
        <f t="shared" si="36"/>
        <v>2277.88</v>
      </c>
      <c r="AE32" s="447">
        <f t="shared" si="37"/>
        <v>2277.88</v>
      </c>
      <c r="AF32" s="443">
        <f>IF(J32="EFETIVO",VLOOKUP(K32,PARAMETROS!$E:AX,11,0),0)</f>
        <v>112.9</v>
      </c>
      <c r="AG32" s="443">
        <f>VLOOKUP(H32,'VA E VT - APOIO.LIMPEZA'!F:AX,14,0)</f>
        <v>223.06049999999999</v>
      </c>
      <c r="AH32" s="443">
        <f>VLOOKUP($H32,'VA E VT - APOIO.LIMPEZA'!$F:AY,20,0)</f>
        <v>100.6784</v>
      </c>
      <c r="AI32" s="443">
        <f>IF($J32="EFETIVO",VLOOKUP($K32,PARAMETROS!$E:BA,14,0),0)</f>
        <v>91.08</v>
      </c>
      <c r="AJ32" s="443">
        <f>IF($J32="EFETIVO",VLOOKUP($K32,PARAMETROS!$E:BB,15,0),0)</f>
        <v>17.03</v>
      </c>
      <c r="AK32" s="443"/>
      <c r="AL32" s="443"/>
      <c r="AM32" s="443"/>
      <c r="AN32" s="443"/>
      <c r="AO32" s="448">
        <f t="shared" si="10"/>
        <v>544.74890000000005</v>
      </c>
      <c r="AP32" s="443">
        <f>IF($J32="EFETIVO",VLOOKUP($K32,PARAMETROS!$E:BH,20,0),0)</f>
        <v>62.37</v>
      </c>
      <c r="AQ32" s="446"/>
      <c r="AR32" s="443">
        <f>IF($J32="EFETIVO",VLOOKUP($K32,PARAMETROS!$E:BJ,22,0),0)</f>
        <v>58.53</v>
      </c>
      <c r="AS32" s="446"/>
      <c r="AT32" s="448">
        <f t="shared" si="11"/>
        <v>120.9</v>
      </c>
      <c r="AU32" s="448">
        <f t="shared" si="12"/>
        <v>838.25984000000005</v>
      </c>
      <c r="AV32" s="448">
        <f t="shared" si="13"/>
        <v>4.1001840000000005</v>
      </c>
      <c r="AW32" s="448">
        <f t="shared" si="13"/>
        <v>11.3894</v>
      </c>
      <c r="AX32" s="448">
        <f t="shared" si="13"/>
        <v>0.91115200000000007</v>
      </c>
      <c r="AY32" s="448">
        <f t="shared" si="13"/>
        <v>0.45557600000000004</v>
      </c>
      <c r="AZ32" s="448">
        <f t="shared" si="13"/>
        <v>7.9725800000000007</v>
      </c>
      <c r="BA32" s="448">
        <f t="shared" si="13"/>
        <v>2.9339094400000003</v>
      </c>
      <c r="BB32" s="448">
        <f t="shared" si="13"/>
        <v>3.8723960000000002</v>
      </c>
      <c r="BC32" s="448">
        <f t="shared" si="14"/>
        <v>27.53</v>
      </c>
      <c r="BD32" s="448">
        <f t="shared" si="15"/>
        <v>31.662531999999999</v>
      </c>
      <c r="BE32" s="448">
        <f t="shared" si="15"/>
        <v>19.134191999999999</v>
      </c>
      <c r="BF32" s="448">
        <f t="shared" si="15"/>
        <v>7.517004</v>
      </c>
      <c r="BG32" s="448">
        <f t="shared" si="15"/>
        <v>0</v>
      </c>
      <c r="BH32" s="448">
        <f t="shared" si="15"/>
        <v>21.459451904000002</v>
      </c>
      <c r="BI32" s="448">
        <f t="shared" si="16"/>
        <v>79.77</v>
      </c>
      <c r="BJ32" s="448">
        <f t="shared" si="17"/>
        <v>949.66</v>
      </c>
      <c r="BK32" s="448">
        <f t="shared" si="18"/>
        <v>189.74740400000002</v>
      </c>
      <c r="BL32" s="448">
        <f t="shared" si="19"/>
        <v>253.07246800000001</v>
      </c>
      <c r="BM32" s="448">
        <f t="shared" si="20"/>
        <v>69.827044672</v>
      </c>
      <c r="BN32" s="448">
        <f t="shared" si="21"/>
        <v>93.130668224000004</v>
      </c>
      <c r="BO32" s="448">
        <f t="shared" si="22"/>
        <v>97.94883999999999</v>
      </c>
      <c r="BP32" s="448"/>
      <c r="BQ32" s="448">
        <f t="shared" si="23"/>
        <v>703.72</v>
      </c>
      <c r="BR32" s="448">
        <f t="shared" si="24"/>
        <v>1653.38</v>
      </c>
      <c r="BS32" s="448">
        <f t="shared" si="25"/>
        <v>288.66000000000003</v>
      </c>
      <c r="BT32" s="448">
        <f t="shared" si="26"/>
        <v>346.26</v>
      </c>
      <c r="BU32" s="448">
        <f t="shared" si="27"/>
        <v>428.35910194000002</v>
      </c>
      <c r="BV32" s="448">
        <f t="shared" si="28"/>
        <v>66.571912000000012</v>
      </c>
      <c r="BW32" s="448">
        <f t="shared" si="29"/>
        <v>494.93101394000001</v>
      </c>
      <c r="BX32" s="448">
        <f t="shared" si="30"/>
        <v>1129.85101394</v>
      </c>
      <c r="BY32" s="448">
        <f t="shared" si="31"/>
        <v>5023.0399139399997</v>
      </c>
      <c r="BZ32" s="448">
        <f t="shared" si="32"/>
        <v>703.72</v>
      </c>
      <c r="CA32" s="448">
        <f t="shared" si="33"/>
        <v>5726.7599139399999</v>
      </c>
      <c r="CB32" s="449"/>
    </row>
    <row r="33" spans="1:80" s="450" customFormat="1" ht="15.75" customHeight="1">
      <c r="A33" s="435">
        <v>1</v>
      </c>
      <c r="B33" s="435">
        <v>1</v>
      </c>
      <c r="C33" s="435" t="s">
        <v>3287</v>
      </c>
      <c r="D33" s="436">
        <f>VLOOKUP(C33,ISS!A:B,2,0)</f>
        <v>0.05</v>
      </c>
      <c r="E33" s="437">
        <f t="shared" si="8"/>
        <v>9.4600000000000004E-2</v>
      </c>
      <c r="F33" s="438">
        <v>18</v>
      </c>
      <c r="G33" s="439">
        <v>12358</v>
      </c>
      <c r="H33" s="440" t="s">
        <v>3951</v>
      </c>
      <c r="I33" s="435" t="s">
        <v>3848</v>
      </c>
      <c r="J33" s="102" t="s">
        <v>3521</v>
      </c>
      <c r="K33" s="435" t="str">
        <f t="shared" si="38"/>
        <v>Belo HorizonteVIGILANTE ARMADO - 12X36 DIURNO</v>
      </c>
      <c r="L33" s="441" t="s">
        <v>3884</v>
      </c>
      <c r="M33" s="451"/>
      <c r="N33" s="102"/>
      <c r="O33" s="101"/>
      <c r="P33" s="101"/>
      <c r="Q33" s="442">
        <f>VLOOKUP('BANCO DADOS-CUSTO TOTAL'!$K33,PARAMETROS!$E:AX,3,0)</f>
        <v>1602.86</v>
      </c>
      <c r="R33" s="442">
        <f>VLOOKUP('BANCO DADOS-CUSTO TOTAL'!$K33,PARAMETROS!$E:AY,4,0)</f>
        <v>0</v>
      </c>
      <c r="S33" s="442">
        <f>VLOOKUP('BANCO DADOS-CUSTO TOTAL'!$K33,PARAMETROS!$E:AZ,5,0)</f>
        <v>480.85799999999995</v>
      </c>
      <c r="T33" s="442">
        <f>VLOOKUP('BANCO DADOS-CUSTO TOTAL'!$K33,PARAMETROS!$E:BA,6,0)</f>
        <v>0</v>
      </c>
      <c r="U33" s="442">
        <f>VLOOKUP('BANCO DADOS-CUSTO TOTAL'!$K33,PARAMETROS!$E:BB,7,0)</f>
        <v>0</v>
      </c>
      <c r="V33" s="442">
        <f>VLOOKUP('BANCO DADOS-CUSTO TOTAL'!$K33,PARAMETROS!$E:BC,8,0)</f>
        <v>0</v>
      </c>
      <c r="W33" s="442">
        <f>VLOOKUP('BANCO DADOS-CUSTO TOTAL'!$K33,PARAMETROS!$E:BD,9,0)</f>
        <v>146.80740454545455</v>
      </c>
      <c r="X33" s="442">
        <f>VLOOKUP('BANCO DADOS-CUSTO TOTAL'!$K33,PARAMETROS!$E:BE,10,0)</f>
        <v>47.357227272727279</v>
      </c>
      <c r="Y33" s="443">
        <f t="shared" si="9"/>
        <v>2277.88</v>
      </c>
      <c r="Z33" s="456"/>
      <c r="AA33" s="444">
        <v>30</v>
      </c>
      <c r="AB33" s="445">
        <f t="shared" si="34"/>
        <v>30</v>
      </c>
      <c r="AC33" s="446">
        <f t="shared" si="35"/>
        <v>2277.88</v>
      </c>
      <c r="AD33" s="447">
        <f t="shared" si="36"/>
        <v>2277.88</v>
      </c>
      <c r="AE33" s="447">
        <f t="shared" si="37"/>
        <v>2277.88</v>
      </c>
      <c r="AF33" s="443">
        <f>IF(J33="EFETIVO",VLOOKUP(K33,PARAMETROS!$E:AX,11,0),0)</f>
        <v>112.9</v>
      </c>
      <c r="AG33" s="443">
        <f>VLOOKUP(H33,'VA E VT - APOIO.LIMPEZA'!F:AX,14,0)</f>
        <v>223.06049999999999</v>
      </c>
      <c r="AH33" s="443">
        <f>VLOOKUP($H33,'VA E VT - APOIO.LIMPEZA'!$F:AY,20,0)</f>
        <v>100.6784</v>
      </c>
      <c r="AI33" s="443">
        <f>IF($J33="EFETIVO",VLOOKUP($K33,PARAMETROS!$E:BA,14,0),0)</f>
        <v>91.08</v>
      </c>
      <c r="AJ33" s="443">
        <f>IF($J33="EFETIVO",VLOOKUP($K33,PARAMETROS!$E:BB,15,0),0)</f>
        <v>17.03</v>
      </c>
      <c r="AK33" s="443"/>
      <c r="AL33" s="443"/>
      <c r="AM33" s="443"/>
      <c r="AN33" s="443"/>
      <c r="AO33" s="448">
        <f t="shared" si="10"/>
        <v>544.74890000000005</v>
      </c>
      <c r="AP33" s="443">
        <f>IF($J33="EFETIVO",VLOOKUP($K33,PARAMETROS!$E:BH,20,0),0)</f>
        <v>62.37</v>
      </c>
      <c r="AQ33" s="446"/>
      <c r="AR33" s="443">
        <f>IF($J33="EFETIVO",VLOOKUP($K33,PARAMETROS!$E:BJ,22,0),0)</f>
        <v>58.53</v>
      </c>
      <c r="AS33" s="446"/>
      <c r="AT33" s="448">
        <f t="shared" si="11"/>
        <v>120.9</v>
      </c>
      <c r="AU33" s="448">
        <f t="shared" si="12"/>
        <v>838.25984000000005</v>
      </c>
      <c r="AV33" s="448">
        <f t="shared" si="13"/>
        <v>4.1001840000000005</v>
      </c>
      <c r="AW33" s="448">
        <f t="shared" si="13"/>
        <v>11.3894</v>
      </c>
      <c r="AX33" s="448">
        <f t="shared" si="13"/>
        <v>0.91115200000000007</v>
      </c>
      <c r="AY33" s="448">
        <f t="shared" si="13"/>
        <v>0.45557600000000004</v>
      </c>
      <c r="AZ33" s="448">
        <f t="shared" si="13"/>
        <v>7.9725800000000007</v>
      </c>
      <c r="BA33" s="448">
        <f t="shared" si="13"/>
        <v>2.9339094400000003</v>
      </c>
      <c r="BB33" s="448">
        <f t="shared" si="13"/>
        <v>3.8723960000000002</v>
      </c>
      <c r="BC33" s="448">
        <f t="shared" si="14"/>
        <v>27.53</v>
      </c>
      <c r="BD33" s="448">
        <f t="shared" si="15"/>
        <v>31.662531999999999</v>
      </c>
      <c r="BE33" s="448">
        <f t="shared" si="15"/>
        <v>19.134191999999999</v>
      </c>
      <c r="BF33" s="448">
        <f t="shared" si="15"/>
        <v>7.517004</v>
      </c>
      <c r="BG33" s="448">
        <f t="shared" si="15"/>
        <v>0</v>
      </c>
      <c r="BH33" s="448">
        <f t="shared" si="15"/>
        <v>21.459451904000002</v>
      </c>
      <c r="BI33" s="448">
        <f t="shared" si="16"/>
        <v>79.77</v>
      </c>
      <c r="BJ33" s="448">
        <f t="shared" si="17"/>
        <v>949.66</v>
      </c>
      <c r="BK33" s="448">
        <f t="shared" si="18"/>
        <v>189.74740400000002</v>
      </c>
      <c r="BL33" s="448">
        <f t="shared" si="19"/>
        <v>253.07246800000001</v>
      </c>
      <c r="BM33" s="448">
        <f t="shared" si="20"/>
        <v>69.827044672</v>
      </c>
      <c r="BN33" s="448">
        <f t="shared" si="21"/>
        <v>93.130668224000004</v>
      </c>
      <c r="BO33" s="448">
        <f t="shared" si="22"/>
        <v>97.94883999999999</v>
      </c>
      <c r="BP33" s="448"/>
      <c r="BQ33" s="448">
        <f t="shared" si="23"/>
        <v>703.72</v>
      </c>
      <c r="BR33" s="448">
        <f t="shared" si="24"/>
        <v>1653.38</v>
      </c>
      <c r="BS33" s="448">
        <f t="shared" si="25"/>
        <v>288.66000000000003</v>
      </c>
      <c r="BT33" s="448">
        <f t="shared" si="26"/>
        <v>346.26</v>
      </c>
      <c r="BU33" s="448">
        <f t="shared" si="27"/>
        <v>428.35910194000002</v>
      </c>
      <c r="BV33" s="448">
        <f t="shared" si="28"/>
        <v>66.571912000000012</v>
      </c>
      <c r="BW33" s="448">
        <f t="shared" si="29"/>
        <v>494.93101394000001</v>
      </c>
      <c r="BX33" s="448">
        <f t="shared" si="30"/>
        <v>1129.85101394</v>
      </c>
      <c r="BY33" s="448">
        <f t="shared" si="31"/>
        <v>5023.0399139399997</v>
      </c>
      <c r="BZ33" s="448">
        <f t="shared" si="32"/>
        <v>703.72</v>
      </c>
      <c r="CA33" s="448">
        <f t="shared" si="33"/>
        <v>5726.7599139399999</v>
      </c>
      <c r="CB33" s="449"/>
    </row>
    <row r="34" spans="1:80" s="450" customFormat="1" ht="15.75" customHeight="1">
      <c r="A34" s="435">
        <v>1</v>
      </c>
      <c r="B34" s="435">
        <v>1</v>
      </c>
      <c r="C34" s="435" t="s">
        <v>3287</v>
      </c>
      <c r="D34" s="436">
        <f>VLOOKUP(C34,ISS!A:B,2,0)</f>
        <v>0.05</v>
      </c>
      <c r="E34" s="437">
        <f t="shared" si="8"/>
        <v>9.4600000000000004E-2</v>
      </c>
      <c r="F34" s="438">
        <v>19</v>
      </c>
      <c r="G34" s="439">
        <v>12359</v>
      </c>
      <c r="H34" s="440" t="s">
        <v>3952</v>
      </c>
      <c r="I34" s="435" t="s">
        <v>3848</v>
      </c>
      <c r="J34" s="102" t="s">
        <v>3521</v>
      </c>
      <c r="K34" s="435" t="str">
        <f t="shared" si="38"/>
        <v>Belo HorizonteVIGILANTE ARMADO - 12X36 DIURNO</v>
      </c>
      <c r="L34" s="441" t="s">
        <v>3882</v>
      </c>
      <c r="M34" s="451"/>
      <c r="N34" s="102"/>
      <c r="O34" s="101"/>
      <c r="P34" s="101"/>
      <c r="Q34" s="442">
        <f>VLOOKUP('BANCO DADOS-CUSTO TOTAL'!$K34,PARAMETROS!$E:AX,3,0)</f>
        <v>1602.86</v>
      </c>
      <c r="R34" s="442">
        <f>VLOOKUP('BANCO DADOS-CUSTO TOTAL'!$K34,PARAMETROS!$E:AY,4,0)</f>
        <v>0</v>
      </c>
      <c r="S34" s="442">
        <f>VLOOKUP('BANCO DADOS-CUSTO TOTAL'!$K34,PARAMETROS!$E:AZ,5,0)</f>
        <v>480.85799999999995</v>
      </c>
      <c r="T34" s="442">
        <f>VLOOKUP('BANCO DADOS-CUSTO TOTAL'!$K34,PARAMETROS!$E:BA,6,0)</f>
        <v>0</v>
      </c>
      <c r="U34" s="442">
        <f>VLOOKUP('BANCO DADOS-CUSTO TOTAL'!$K34,PARAMETROS!$E:BB,7,0)</f>
        <v>0</v>
      </c>
      <c r="V34" s="442">
        <f>VLOOKUP('BANCO DADOS-CUSTO TOTAL'!$K34,PARAMETROS!$E:BC,8,0)</f>
        <v>0</v>
      </c>
      <c r="W34" s="442">
        <f>VLOOKUP('BANCO DADOS-CUSTO TOTAL'!$K34,PARAMETROS!$E:BD,9,0)</f>
        <v>146.80740454545455</v>
      </c>
      <c r="X34" s="442">
        <f>VLOOKUP('BANCO DADOS-CUSTO TOTAL'!$K34,PARAMETROS!$E:BE,10,0)</f>
        <v>47.357227272727279</v>
      </c>
      <c r="Y34" s="443">
        <f t="shared" si="9"/>
        <v>2277.88</v>
      </c>
      <c r="Z34" s="456"/>
      <c r="AA34" s="444">
        <v>30</v>
      </c>
      <c r="AB34" s="445">
        <f t="shared" si="34"/>
        <v>30</v>
      </c>
      <c r="AC34" s="446">
        <f t="shared" si="35"/>
        <v>2277.88</v>
      </c>
      <c r="AD34" s="447">
        <f t="shared" si="36"/>
        <v>2277.88</v>
      </c>
      <c r="AE34" s="447">
        <f t="shared" si="37"/>
        <v>2277.88</v>
      </c>
      <c r="AF34" s="443">
        <f>IF(J34="EFETIVO",VLOOKUP(K34,PARAMETROS!$E:AX,11,0),0)</f>
        <v>112.9</v>
      </c>
      <c r="AG34" s="443">
        <f>VLOOKUP(H34,'VA E VT - APOIO.LIMPEZA'!F:AX,14,0)</f>
        <v>223.06049999999999</v>
      </c>
      <c r="AH34" s="443">
        <f>VLOOKUP($H34,'VA E VT - APOIO.LIMPEZA'!$F:AY,20,0)</f>
        <v>100.6784</v>
      </c>
      <c r="AI34" s="443">
        <f>IF($J34="EFETIVO",VLOOKUP($K34,PARAMETROS!$E:BA,14,0),0)</f>
        <v>91.08</v>
      </c>
      <c r="AJ34" s="443">
        <f>IF($J34="EFETIVO",VLOOKUP($K34,PARAMETROS!$E:BB,15,0),0)</f>
        <v>17.03</v>
      </c>
      <c r="AK34" s="443"/>
      <c r="AL34" s="443"/>
      <c r="AM34" s="443"/>
      <c r="AN34" s="443"/>
      <c r="AO34" s="448">
        <f t="shared" si="10"/>
        <v>544.74890000000005</v>
      </c>
      <c r="AP34" s="443">
        <f>IF($J34="EFETIVO",VLOOKUP($K34,PARAMETROS!$E:BH,20,0),0)</f>
        <v>62.37</v>
      </c>
      <c r="AQ34" s="446"/>
      <c r="AR34" s="443">
        <f>IF($J34="EFETIVO",VLOOKUP($K34,PARAMETROS!$E:BJ,22,0),0)</f>
        <v>58.53</v>
      </c>
      <c r="AS34" s="446"/>
      <c r="AT34" s="448">
        <f t="shared" si="11"/>
        <v>120.9</v>
      </c>
      <c r="AU34" s="448">
        <f t="shared" si="12"/>
        <v>838.25984000000005</v>
      </c>
      <c r="AV34" s="448">
        <f t="shared" si="13"/>
        <v>4.1001840000000005</v>
      </c>
      <c r="AW34" s="448">
        <f t="shared" si="13"/>
        <v>11.3894</v>
      </c>
      <c r="AX34" s="448">
        <f t="shared" si="13"/>
        <v>0.91115200000000007</v>
      </c>
      <c r="AY34" s="448">
        <f t="shared" si="13"/>
        <v>0.45557600000000004</v>
      </c>
      <c r="AZ34" s="448">
        <f t="shared" si="13"/>
        <v>7.9725800000000007</v>
      </c>
      <c r="BA34" s="448">
        <f t="shared" si="13"/>
        <v>2.9339094400000003</v>
      </c>
      <c r="BB34" s="448">
        <f t="shared" si="13"/>
        <v>3.8723960000000002</v>
      </c>
      <c r="BC34" s="448">
        <f t="shared" si="14"/>
        <v>27.53</v>
      </c>
      <c r="BD34" s="448">
        <f t="shared" si="15"/>
        <v>31.662531999999999</v>
      </c>
      <c r="BE34" s="448">
        <f t="shared" si="15"/>
        <v>19.134191999999999</v>
      </c>
      <c r="BF34" s="448">
        <f t="shared" si="15"/>
        <v>7.517004</v>
      </c>
      <c r="BG34" s="448">
        <f t="shared" si="15"/>
        <v>0</v>
      </c>
      <c r="BH34" s="448">
        <f t="shared" si="15"/>
        <v>21.459451904000002</v>
      </c>
      <c r="BI34" s="448">
        <f t="shared" si="16"/>
        <v>79.77</v>
      </c>
      <c r="BJ34" s="448">
        <f t="shared" si="17"/>
        <v>949.66</v>
      </c>
      <c r="BK34" s="448">
        <f t="shared" si="18"/>
        <v>189.74740400000002</v>
      </c>
      <c r="BL34" s="448">
        <f t="shared" si="19"/>
        <v>253.07246800000001</v>
      </c>
      <c r="BM34" s="448">
        <f t="shared" si="20"/>
        <v>69.827044672</v>
      </c>
      <c r="BN34" s="448">
        <f t="shared" si="21"/>
        <v>93.130668224000004</v>
      </c>
      <c r="BO34" s="448">
        <f t="shared" si="22"/>
        <v>97.94883999999999</v>
      </c>
      <c r="BP34" s="448"/>
      <c r="BQ34" s="448">
        <f t="shared" si="23"/>
        <v>703.72</v>
      </c>
      <c r="BR34" s="448">
        <f t="shared" si="24"/>
        <v>1653.38</v>
      </c>
      <c r="BS34" s="448">
        <f t="shared" si="25"/>
        <v>288.66000000000003</v>
      </c>
      <c r="BT34" s="448">
        <f t="shared" si="26"/>
        <v>346.26</v>
      </c>
      <c r="BU34" s="448">
        <f t="shared" si="27"/>
        <v>428.35910194000002</v>
      </c>
      <c r="BV34" s="448">
        <f t="shared" si="28"/>
        <v>66.571912000000012</v>
      </c>
      <c r="BW34" s="448">
        <f t="shared" si="29"/>
        <v>494.93101394000001</v>
      </c>
      <c r="BX34" s="448">
        <f t="shared" si="30"/>
        <v>1129.85101394</v>
      </c>
      <c r="BY34" s="448">
        <f t="shared" si="31"/>
        <v>5023.0399139399997</v>
      </c>
      <c r="BZ34" s="448">
        <f t="shared" si="32"/>
        <v>703.72</v>
      </c>
      <c r="CA34" s="448">
        <f t="shared" si="33"/>
        <v>5726.7599139399999</v>
      </c>
      <c r="CB34" s="449"/>
    </row>
    <row r="35" spans="1:80" s="450" customFormat="1" ht="15.75" customHeight="1">
      <c r="A35" s="435">
        <v>1</v>
      </c>
      <c r="B35" s="435">
        <v>1</v>
      </c>
      <c r="C35" s="435" t="s">
        <v>3287</v>
      </c>
      <c r="D35" s="436">
        <f>VLOOKUP(C35,ISS!A:B,2,0)</f>
        <v>0.05</v>
      </c>
      <c r="E35" s="437">
        <f t="shared" si="8"/>
        <v>9.4600000000000004E-2</v>
      </c>
      <c r="F35" s="438">
        <v>20</v>
      </c>
      <c r="G35" s="439">
        <v>12360</v>
      </c>
      <c r="H35" s="440" t="s">
        <v>3953</v>
      </c>
      <c r="I35" s="435" t="s">
        <v>3848</v>
      </c>
      <c r="J35" s="102" t="s">
        <v>3521</v>
      </c>
      <c r="K35" s="435" t="str">
        <f t="shared" si="38"/>
        <v>Belo HorizonteVIGILANTE ARMADO - 12X36 DIURNO</v>
      </c>
      <c r="L35" s="441" t="s">
        <v>3882</v>
      </c>
      <c r="M35" s="451"/>
      <c r="N35" s="102"/>
      <c r="O35" s="101"/>
      <c r="P35" s="101"/>
      <c r="Q35" s="442">
        <f>VLOOKUP('BANCO DADOS-CUSTO TOTAL'!$K35,PARAMETROS!$E:AX,3,0)</f>
        <v>1602.86</v>
      </c>
      <c r="R35" s="442">
        <f>VLOOKUP('BANCO DADOS-CUSTO TOTAL'!$K35,PARAMETROS!$E:AY,4,0)</f>
        <v>0</v>
      </c>
      <c r="S35" s="442">
        <f>VLOOKUP('BANCO DADOS-CUSTO TOTAL'!$K35,PARAMETROS!$E:AZ,5,0)</f>
        <v>480.85799999999995</v>
      </c>
      <c r="T35" s="442">
        <f>VLOOKUP('BANCO DADOS-CUSTO TOTAL'!$K35,PARAMETROS!$E:BA,6,0)</f>
        <v>0</v>
      </c>
      <c r="U35" s="442">
        <f>VLOOKUP('BANCO DADOS-CUSTO TOTAL'!$K35,PARAMETROS!$E:BB,7,0)</f>
        <v>0</v>
      </c>
      <c r="V35" s="442">
        <f>VLOOKUP('BANCO DADOS-CUSTO TOTAL'!$K35,PARAMETROS!$E:BC,8,0)</f>
        <v>0</v>
      </c>
      <c r="W35" s="442">
        <f>VLOOKUP('BANCO DADOS-CUSTO TOTAL'!$K35,PARAMETROS!$E:BD,9,0)</f>
        <v>146.80740454545455</v>
      </c>
      <c r="X35" s="442">
        <f>VLOOKUP('BANCO DADOS-CUSTO TOTAL'!$K35,PARAMETROS!$E:BE,10,0)</f>
        <v>47.357227272727279</v>
      </c>
      <c r="Y35" s="443">
        <f t="shared" si="9"/>
        <v>2277.88</v>
      </c>
      <c r="Z35" s="456"/>
      <c r="AA35" s="444">
        <v>30</v>
      </c>
      <c r="AB35" s="445">
        <f t="shared" si="34"/>
        <v>30</v>
      </c>
      <c r="AC35" s="446">
        <f t="shared" si="35"/>
        <v>2277.88</v>
      </c>
      <c r="AD35" s="447">
        <f t="shared" si="36"/>
        <v>2277.88</v>
      </c>
      <c r="AE35" s="447">
        <f t="shared" si="37"/>
        <v>2277.88</v>
      </c>
      <c r="AF35" s="443">
        <f>IF(J35="EFETIVO",VLOOKUP(K35,PARAMETROS!$E:AX,11,0),0)</f>
        <v>112.9</v>
      </c>
      <c r="AG35" s="443">
        <f>VLOOKUP(H35,'VA E VT - APOIO.LIMPEZA'!F:AX,14,0)</f>
        <v>223.06049999999999</v>
      </c>
      <c r="AH35" s="443">
        <f>VLOOKUP($H35,'VA E VT - APOIO.LIMPEZA'!$F:AY,20,0)</f>
        <v>100.6784</v>
      </c>
      <c r="AI35" s="443">
        <f>IF($J35="EFETIVO",VLOOKUP($K35,PARAMETROS!$E:BA,14,0),0)</f>
        <v>91.08</v>
      </c>
      <c r="AJ35" s="443">
        <f>IF($J35="EFETIVO",VLOOKUP($K35,PARAMETROS!$E:BB,15,0),0)</f>
        <v>17.03</v>
      </c>
      <c r="AK35" s="443"/>
      <c r="AL35" s="443"/>
      <c r="AM35" s="443"/>
      <c r="AN35" s="443"/>
      <c r="AO35" s="448">
        <f t="shared" si="10"/>
        <v>544.74890000000005</v>
      </c>
      <c r="AP35" s="443">
        <f>IF($J35="EFETIVO",VLOOKUP($K35,PARAMETROS!$E:BH,20,0),0)</f>
        <v>62.37</v>
      </c>
      <c r="AQ35" s="446"/>
      <c r="AR35" s="443">
        <f>IF($J35="EFETIVO",VLOOKUP($K35,PARAMETROS!$E:BJ,22,0),0)</f>
        <v>58.53</v>
      </c>
      <c r="AS35" s="446"/>
      <c r="AT35" s="448">
        <f t="shared" si="11"/>
        <v>120.9</v>
      </c>
      <c r="AU35" s="448">
        <f t="shared" si="12"/>
        <v>838.25984000000005</v>
      </c>
      <c r="AV35" s="448">
        <f t="shared" si="13"/>
        <v>4.1001840000000005</v>
      </c>
      <c r="AW35" s="448">
        <f t="shared" si="13"/>
        <v>11.3894</v>
      </c>
      <c r="AX35" s="448">
        <f t="shared" si="13"/>
        <v>0.91115200000000007</v>
      </c>
      <c r="AY35" s="448">
        <f t="shared" si="13"/>
        <v>0.45557600000000004</v>
      </c>
      <c r="AZ35" s="448">
        <f t="shared" si="13"/>
        <v>7.9725800000000007</v>
      </c>
      <c r="BA35" s="448">
        <f t="shared" si="13"/>
        <v>2.9339094400000003</v>
      </c>
      <c r="BB35" s="448">
        <f t="shared" si="13"/>
        <v>3.8723960000000002</v>
      </c>
      <c r="BC35" s="448">
        <f t="shared" si="14"/>
        <v>27.53</v>
      </c>
      <c r="BD35" s="448">
        <f t="shared" si="15"/>
        <v>31.662531999999999</v>
      </c>
      <c r="BE35" s="448">
        <f t="shared" si="15"/>
        <v>19.134191999999999</v>
      </c>
      <c r="BF35" s="448">
        <f t="shared" si="15"/>
        <v>7.517004</v>
      </c>
      <c r="BG35" s="448">
        <f t="shared" si="15"/>
        <v>0</v>
      </c>
      <c r="BH35" s="448">
        <f t="shared" si="15"/>
        <v>21.459451904000002</v>
      </c>
      <c r="BI35" s="448">
        <f t="shared" si="16"/>
        <v>79.77</v>
      </c>
      <c r="BJ35" s="448">
        <f t="shared" si="17"/>
        <v>949.66</v>
      </c>
      <c r="BK35" s="448">
        <f t="shared" si="18"/>
        <v>189.74740400000002</v>
      </c>
      <c r="BL35" s="448">
        <f t="shared" si="19"/>
        <v>253.07246800000001</v>
      </c>
      <c r="BM35" s="448">
        <f t="shared" si="20"/>
        <v>69.827044672</v>
      </c>
      <c r="BN35" s="448">
        <f t="shared" si="21"/>
        <v>93.130668224000004</v>
      </c>
      <c r="BO35" s="448">
        <f t="shared" si="22"/>
        <v>97.94883999999999</v>
      </c>
      <c r="BP35" s="448"/>
      <c r="BQ35" s="448">
        <f t="shared" si="23"/>
        <v>703.72</v>
      </c>
      <c r="BR35" s="448">
        <f t="shared" si="24"/>
        <v>1653.38</v>
      </c>
      <c r="BS35" s="448">
        <f t="shared" si="25"/>
        <v>288.66000000000003</v>
      </c>
      <c r="BT35" s="448">
        <f t="shared" si="26"/>
        <v>346.26</v>
      </c>
      <c r="BU35" s="448">
        <f t="shared" si="27"/>
        <v>428.35910194000002</v>
      </c>
      <c r="BV35" s="448">
        <f t="shared" si="28"/>
        <v>66.571912000000012</v>
      </c>
      <c r="BW35" s="448">
        <f t="shared" si="29"/>
        <v>494.93101394000001</v>
      </c>
      <c r="BX35" s="448">
        <f t="shared" si="30"/>
        <v>1129.85101394</v>
      </c>
      <c r="BY35" s="448">
        <f t="shared" si="31"/>
        <v>5023.0399139399997</v>
      </c>
      <c r="BZ35" s="448">
        <f t="shared" si="32"/>
        <v>703.72</v>
      </c>
      <c r="CA35" s="448">
        <f t="shared" si="33"/>
        <v>5726.7599139399999</v>
      </c>
      <c r="CB35" s="449"/>
    </row>
    <row r="36" spans="1:80" s="450" customFormat="1" ht="15.75" customHeight="1">
      <c r="A36" s="435">
        <v>1</v>
      </c>
      <c r="B36" s="435">
        <v>1</v>
      </c>
      <c r="C36" s="435" t="s">
        <v>3287</v>
      </c>
      <c r="D36" s="436">
        <f>VLOOKUP(C36,ISS!A:B,2,0)</f>
        <v>0.05</v>
      </c>
      <c r="E36" s="437">
        <f t="shared" si="8"/>
        <v>9.4600000000000004E-2</v>
      </c>
      <c r="F36" s="438">
        <v>21</v>
      </c>
      <c r="G36" s="439">
        <v>12361</v>
      </c>
      <c r="H36" s="440" t="s">
        <v>3954</v>
      </c>
      <c r="I36" s="435" t="s">
        <v>3848</v>
      </c>
      <c r="J36" s="102" t="s">
        <v>3521</v>
      </c>
      <c r="K36" s="435" t="str">
        <f t="shared" si="38"/>
        <v>Belo HorizonteVIGILANTE ARMADO - 12X36 DIURNO</v>
      </c>
      <c r="L36" s="441" t="s">
        <v>3882</v>
      </c>
      <c r="M36" s="451"/>
      <c r="N36" s="102"/>
      <c r="O36" s="101"/>
      <c r="P36" s="101"/>
      <c r="Q36" s="442">
        <f>VLOOKUP('BANCO DADOS-CUSTO TOTAL'!$K36,PARAMETROS!$E:AX,3,0)</f>
        <v>1602.86</v>
      </c>
      <c r="R36" s="442">
        <f>VLOOKUP('BANCO DADOS-CUSTO TOTAL'!$K36,PARAMETROS!$E:AY,4,0)</f>
        <v>0</v>
      </c>
      <c r="S36" s="442">
        <f>VLOOKUP('BANCO DADOS-CUSTO TOTAL'!$K36,PARAMETROS!$E:AZ,5,0)</f>
        <v>480.85799999999995</v>
      </c>
      <c r="T36" s="442">
        <f>VLOOKUP('BANCO DADOS-CUSTO TOTAL'!$K36,PARAMETROS!$E:BA,6,0)</f>
        <v>0</v>
      </c>
      <c r="U36" s="442">
        <f>VLOOKUP('BANCO DADOS-CUSTO TOTAL'!$K36,PARAMETROS!$E:BB,7,0)</f>
        <v>0</v>
      </c>
      <c r="V36" s="442">
        <f>VLOOKUP('BANCO DADOS-CUSTO TOTAL'!$K36,PARAMETROS!$E:BC,8,0)</f>
        <v>0</v>
      </c>
      <c r="W36" s="442">
        <f>VLOOKUP('BANCO DADOS-CUSTO TOTAL'!$K36,PARAMETROS!$E:BD,9,0)</f>
        <v>146.80740454545455</v>
      </c>
      <c r="X36" s="442">
        <f>VLOOKUP('BANCO DADOS-CUSTO TOTAL'!$K36,PARAMETROS!$E:BE,10,0)</f>
        <v>47.357227272727279</v>
      </c>
      <c r="Y36" s="443">
        <f t="shared" si="9"/>
        <v>2277.88</v>
      </c>
      <c r="Z36" s="456"/>
      <c r="AA36" s="444">
        <v>30</v>
      </c>
      <c r="AB36" s="445">
        <f t="shared" si="34"/>
        <v>30</v>
      </c>
      <c r="AC36" s="446">
        <f t="shared" si="35"/>
        <v>2277.88</v>
      </c>
      <c r="AD36" s="447">
        <f t="shared" si="36"/>
        <v>2277.88</v>
      </c>
      <c r="AE36" s="447">
        <f t="shared" si="37"/>
        <v>2277.88</v>
      </c>
      <c r="AF36" s="443">
        <f>IF(J36="EFETIVO",VLOOKUP(K36,PARAMETROS!$E:AX,11,0),0)</f>
        <v>112.9</v>
      </c>
      <c r="AG36" s="443">
        <f>VLOOKUP(H36,'VA E VT - APOIO.LIMPEZA'!F:AX,14,0)</f>
        <v>223.06049999999999</v>
      </c>
      <c r="AH36" s="443">
        <f>VLOOKUP($H36,'VA E VT - APOIO.LIMPEZA'!$F:AY,20,0)</f>
        <v>100.6784</v>
      </c>
      <c r="AI36" s="443">
        <f>IF($J36="EFETIVO",VLOOKUP($K36,PARAMETROS!$E:BA,14,0),0)</f>
        <v>91.08</v>
      </c>
      <c r="AJ36" s="443">
        <f>IF($J36="EFETIVO",VLOOKUP($K36,PARAMETROS!$E:BB,15,0),0)</f>
        <v>17.03</v>
      </c>
      <c r="AK36" s="443"/>
      <c r="AL36" s="443"/>
      <c r="AM36" s="443"/>
      <c r="AN36" s="443"/>
      <c r="AO36" s="448">
        <f t="shared" si="10"/>
        <v>544.74890000000005</v>
      </c>
      <c r="AP36" s="443">
        <f>IF($J36="EFETIVO",VLOOKUP($K36,PARAMETROS!$E:BH,20,0),0)</f>
        <v>62.37</v>
      </c>
      <c r="AQ36" s="446"/>
      <c r="AR36" s="443">
        <f>IF($J36="EFETIVO",VLOOKUP($K36,PARAMETROS!$E:BJ,22,0),0)</f>
        <v>58.53</v>
      </c>
      <c r="AS36" s="446"/>
      <c r="AT36" s="448">
        <f t="shared" si="11"/>
        <v>120.9</v>
      </c>
      <c r="AU36" s="448">
        <f t="shared" si="12"/>
        <v>838.25984000000005</v>
      </c>
      <c r="AV36" s="448">
        <f t="shared" si="13"/>
        <v>4.1001840000000005</v>
      </c>
      <c r="AW36" s="448">
        <f t="shared" si="13"/>
        <v>11.3894</v>
      </c>
      <c r="AX36" s="448">
        <f t="shared" si="13"/>
        <v>0.91115200000000007</v>
      </c>
      <c r="AY36" s="448">
        <f t="shared" si="13"/>
        <v>0.45557600000000004</v>
      </c>
      <c r="AZ36" s="448">
        <f t="shared" si="13"/>
        <v>7.9725800000000007</v>
      </c>
      <c r="BA36" s="448">
        <f t="shared" si="13"/>
        <v>2.9339094400000003</v>
      </c>
      <c r="BB36" s="448">
        <f t="shared" si="13"/>
        <v>3.8723960000000002</v>
      </c>
      <c r="BC36" s="448">
        <f t="shared" si="14"/>
        <v>27.53</v>
      </c>
      <c r="BD36" s="448">
        <f t="shared" si="15"/>
        <v>31.662531999999999</v>
      </c>
      <c r="BE36" s="448">
        <f t="shared" si="15"/>
        <v>19.134191999999999</v>
      </c>
      <c r="BF36" s="448">
        <f t="shared" si="15"/>
        <v>7.517004</v>
      </c>
      <c r="BG36" s="448">
        <f t="shared" si="15"/>
        <v>0</v>
      </c>
      <c r="BH36" s="448">
        <f t="shared" si="15"/>
        <v>21.459451904000002</v>
      </c>
      <c r="BI36" s="448">
        <f t="shared" si="16"/>
        <v>79.77</v>
      </c>
      <c r="BJ36" s="448">
        <f t="shared" si="17"/>
        <v>949.66</v>
      </c>
      <c r="BK36" s="448">
        <f t="shared" si="18"/>
        <v>189.74740400000002</v>
      </c>
      <c r="BL36" s="448">
        <f t="shared" si="19"/>
        <v>253.07246800000001</v>
      </c>
      <c r="BM36" s="448">
        <f t="shared" si="20"/>
        <v>69.827044672</v>
      </c>
      <c r="BN36" s="448">
        <f t="shared" si="21"/>
        <v>93.130668224000004</v>
      </c>
      <c r="BO36" s="448">
        <f t="shared" si="22"/>
        <v>97.94883999999999</v>
      </c>
      <c r="BP36" s="448"/>
      <c r="BQ36" s="448">
        <f t="shared" si="23"/>
        <v>703.72</v>
      </c>
      <c r="BR36" s="448">
        <f t="shared" si="24"/>
        <v>1653.38</v>
      </c>
      <c r="BS36" s="448">
        <f t="shared" si="25"/>
        <v>288.66000000000003</v>
      </c>
      <c r="BT36" s="448">
        <f t="shared" si="26"/>
        <v>346.26</v>
      </c>
      <c r="BU36" s="448">
        <f t="shared" si="27"/>
        <v>428.35910194000002</v>
      </c>
      <c r="BV36" s="448">
        <f t="shared" si="28"/>
        <v>66.571912000000012</v>
      </c>
      <c r="BW36" s="448">
        <f t="shared" si="29"/>
        <v>494.93101394000001</v>
      </c>
      <c r="BX36" s="448">
        <f t="shared" si="30"/>
        <v>1129.85101394</v>
      </c>
      <c r="BY36" s="448">
        <f t="shared" si="31"/>
        <v>5023.0399139399997</v>
      </c>
      <c r="BZ36" s="448">
        <f t="shared" si="32"/>
        <v>703.72</v>
      </c>
      <c r="CA36" s="448">
        <f t="shared" si="33"/>
        <v>5726.7599139399999</v>
      </c>
      <c r="CB36" s="449"/>
    </row>
    <row r="37" spans="1:80" s="450" customFormat="1" ht="15.75" customHeight="1">
      <c r="A37" s="435">
        <v>1</v>
      </c>
      <c r="B37" s="435">
        <v>1</v>
      </c>
      <c r="C37" s="435" t="s">
        <v>3287</v>
      </c>
      <c r="D37" s="436">
        <f>VLOOKUP(C37,ISS!A:B,2,0)</f>
        <v>0.05</v>
      </c>
      <c r="E37" s="437">
        <f t="shared" si="8"/>
        <v>9.4600000000000004E-2</v>
      </c>
      <c r="F37" s="438">
        <v>22</v>
      </c>
      <c r="G37" s="439">
        <v>12362</v>
      </c>
      <c r="H37" s="440" t="s">
        <v>3955</v>
      </c>
      <c r="I37" s="435" t="s">
        <v>3848</v>
      </c>
      <c r="J37" s="102" t="s">
        <v>3521</v>
      </c>
      <c r="K37" s="435" t="str">
        <f t="shared" si="38"/>
        <v>Belo HorizonteVIGILANTE ARMADO - 12X36 DIURNO</v>
      </c>
      <c r="L37" s="441" t="s">
        <v>3882</v>
      </c>
      <c r="M37" s="451"/>
      <c r="N37" s="102"/>
      <c r="O37" s="101"/>
      <c r="P37" s="101"/>
      <c r="Q37" s="442">
        <f>VLOOKUP('BANCO DADOS-CUSTO TOTAL'!$K37,PARAMETROS!$E:AX,3,0)</f>
        <v>1602.86</v>
      </c>
      <c r="R37" s="442">
        <f>VLOOKUP('BANCO DADOS-CUSTO TOTAL'!$K37,PARAMETROS!$E:AY,4,0)</f>
        <v>0</v>
      </c>
      <c r="S37" s="442">
        <f>VLOOKUP('BANCO DADOS-CUSTO TOTAL'!$K37,PARAMETROS!$E:AZ,5,0)</f>
        <v>480.85799999999995</v>
      </c>
      <c r="T37" s="442">
        <f>VLOOKUP('BANCO DADOS-CUSTO TOTAL'!$K37,PARAMETROS!$E:BA,6,0)</f>
        <v>0</v>
      </c>
      <c r="U37" s="442">
        <f>VLOOKUP('BANCO DADOS-CUSTO TOTAL'!$K37,PARAMETROS!$E:BB,7,0)</f>
        <v>0</v>
      </c>
      <c r="V37" s="442">
        <f>VLOOKUP('BANCO DADOS-CUSTO TOTAL'!$K37,PARAMETROS!$E:BC,8,0)</f>
        <v>0</v>
      </c>
      <c r="W37" s="442">
        <f>VLOOKUP('BANCO DADOS-CUSTO TOTAL'!$K37,PARAMETROS!$E:BD,9,0)</f>
        <v>146.80740454545455</v>
      </c>
      <c r="X37" s="442">
        <f>VLOOKUP('BANCO DADOS-CUSTO TOTAL'!$K37,PARAMETROS!$E:BE,10,0)</f>
        <v>47.357227272727279</v>
      </c>
      <c r="Y37" s="443">
        <f t="shared" si="9"/>
        <v>2277.88</v>
      </c>
      <c r="Z37" s="456"/>
      <c r="AA37" s="444">
        <v>30</v>
      </c>
      <c r="AB37" s="445">
        <f t="shared" si="34"/>
        <v>30</v>
      </c>
      <c r="AC37" s="446">
        <f t="shared" si="35"/>
        <v>2277.88</v>
      </c>
      <c r="AD37" s="447">
        <f t="shared" si="36"/>
        <v>2277.88</v>
      </c>
      <c r="AE37" s="447">
        <f t="shared" si="37"/>
        <v>2277.88</v>
      </c>
      <c r="AF37" s="443">
        <f>IF(J37="EFETIVO",VLOOKUP(K37,PARAMETROS!$E:AX,11,0),0)</f>
        <v>112.9</v>
      </c>
      <c r="AG37" s="443">
        <f>VLOOKUP(H37,'VA E VT - APOIO.LIMPEZA'!F:AX,14,0)</f>
        <v>223.06049999999999</v>
      </c>
      <c r="AH37" s="443">
        <f>VLOOKUP($H37,'VA E VT - APOIO.LIMPEZA'!$F:AY,20,0)</f>
        <v>100.6784</v>
      </c>
      <c r="AI37" s="443">
        <f>IF($J37="EFETIVO",VLOOKUP($K37,PARAMETROS!$E:BA,14,0),0)</f>
        <v>91.08</v>
      </c>
      <c r="AJ37" s="443">
        <f>IF($J37="EFETIVO",VLOOKUP($K37,PARAMETROS!$E:BB,15,0),0)</f>
        <v>17.03</v>
      </c>
      <c r="AK37" s="443"/>
      <c r="AL37" s="443"/>
      <c r="AM37" s="443"/>
      <c r="AN37" s="443"/>
      <c r="AO37" s="448">
        <f t="shared" si="10"/>
        <v>544.74890000000005</v>
      </c>
      <c r="AP37" s="443">
        <f>IF($J37="EFETIVO",VLOOKUP($K37,PARAMETROS!$E:BH,20,0),0)</f>
        <v>62.37</v>
      </c>
      <c r="AQ37" s="446"/>
      <c r="AR37" s="443">
        <f>IF($J37="EFETIVO",VLOOKUP($K37,PARAMETROS!$E:BJ,22,0),0)</f>
        <v>58.53</v>
      </c>
      <c r="AS37" s="446"/>
      <c r="AT37" s="448">
        <f t="shared" si="11"/>
        <v>120.9</v>
      </c>
      <c r="AU37" s="448">
        <f t="shared" si="12"/>
        <v>838.25984000000005</v>
      </c>
      <c r="AV37" s="448">
        <f t="shared" si="13"/>
        <v>4.1001840000000005</v>
      </c>
      <c r="AW37" s="448">
        <f t="shared" si="13"/>
        <v>11.3894</v>
      </c>
      <c r="AX37" s="448">
        <f t="shared" si="13"/>
        <v>0.91115200000000007</v>
      </c>
      <c r="AY37" s="448">
        <f t="shared" si="13"/>
        <v>0.45557600000000004</v>
      </c>
      <c r="AZ37" s="448">
        <f t="shared" si="13"/>
        <v>7.9725800000000007</v>
      </c>
      <c r="BA37" s="448">
        <f t="shared" si="13"/>
        <v>2.9339094400000003</v>
      </c>
      <c r="BB37" s="448">
        <f t="shared" si="13"/>
        <v>3.8723960000000002</v>
      </c>
      <c r="BC37" s="448">
        <f t="shared" si="14"/>
        <v>27.53</v>
      </c>
      <c r="BD37" s="448">
        <f t="shared" si="15"/>
        <v>31.662531999999999</v>
      </c>
      <c r="BE37" s="448">
        <f t="shared" si="15"/>
        <v>19.134191999999999</v>
      </c>
      <c r="BF37" s="448">
        <f t="shared" si="15"/>
        <v>7.517004</v>
      </c>
      <c r="BG37" s="448">
        <f t="shared" si="15"/>
        <v>0</v>
      </c>
      <c r="BH37" s="448">
        <f t="shared" si="15"/>
        <v>21.459451904000002</v>
      </c>
      <c r="BI37" s="448">
        <f t="shared" si="16"/>
        <v>79.77</v>
      </c>
      <c r="BJ37" s="448">
        <f t="shared" si="17"/>
        <v>949.66</v>
      </c>
      <c r="BK37" s="448">
        <f t="shared" si="18"/>
        <v>189.74740400000002</v>
      </c>
      <c r="BL37" s="448">
        <f t="shared" si="19"/>
        <v>253.07246800000001</v>
      </c>
      <c r="BM37" s="448">
        <f t="shared" si="20"/>
        <v>69.827044672</v>
      </c>
      <c r="BN37" s="448">
        <f t="shared" si="21"/>
        <v>93.130668224000004</v>
      </c>
      <c r="BO37" s="448">
        <f t="shared" si="22"/>
        <v>97.94883999999999</v>
      </c>
      <c r="BP37" s="448"/>
      <c r="BQ37" s="448">
        <f t="shared" si="23"/>
        <v>703.72</v>
      </c>
      <c r="BR37" s="448">
        <f t="shared" si="24"/>
        <v>1653.38</v>
      </c>
      <c r="BS37" s="448">
        <f t="shared" si="25"/>
        <v>288.66000000000003</v>
      </c>
      <c r="BT37" s="448">
        <f t="shared" si="26"/>
        <v>346.26</v>
      </c>
      <c r="BU37" s="448">
        <f t="shared" si="27"/>
        <v>428.35910194000002</v>
      </c>
      <c r="BV37" s="448">
        <f t="shared" si="28"/>
        <v>66.571912000000012</v>
      </c>
      <c r="BW37" s="448">
        <f t="shared" si="29"/>
        <v>494.93101394000001</v>
      </c>
      <c r="BX37" s="448">
        <f t="shared" si="30"/>
        <v>1129.85101394</v>
      </c>
      <c r="BY37" s="448">
        <f t="shared" si="31"/>
        <v>5023.0399139399997</v>
      </c>
      <c r="BZ37" s="448">
        <f t="shared" si="32"/>
        <v>703.72</v>
      </c>
      <c r="CA37" s="448">
        <f t="shared" si="33"/>
        <v>5726.7599139399999</v>
      </c>
      <c r="CB37" s="449"/>
    </row>
    <row r="38" spans="1:80" s="450" customFormat="1" ht="15.75" customHeight="1">
      <c r="A38" s="435">
        <v>1</v>
      </c>
      <c r="B38" s="435">
        <v>1</v>
      </c>
      <c r="C38" s="435" t="s">
        <v>3287</v>
      </c>
      <c r="D38" s="436">
        <f>VLOOKUP(C38,ISS!A:B,2,0)</f>
        <v>0.05</v>
      </c>
      <c r="E38" s="437">
        <f t="shared" si="8"/>
        <v>9.4600000000000004E-2</v>
      </c>
      <c r="F38" s="438">
        <v>23</v>
      </c>
      <c r="G38" s="439">
        <v>12363</v>
      </c>
      <c r="H38" s="440" t="s">
        <v>3956</v>
      </c>
      <c r="I38" s="435" t="s">
        <v>3848</v>
      </c>
      <c r="J38" s="102" t="s">
        <v>3521</v>
      </c>
      <c r="K38" s="435" t="str">
        <f t="shared" si="38"/>
        <v>Belo HorizonteVIGILANTE ARMADO - 12X36 DIURNO</v>
      </c>
      <c r="L38" s="441" t="s">
        <v>3882</v>
      </c>
      <c r="M38" s="451"/>
      <c r="N38" s="102"/>
      <c r="O38" s="101"/>
      <c r="P38" s="101"/>
      <c r="Q38" s="442">
        <f>VLOOKUP('BANCO DADOS-CUSTO TOTAL'!$K38,PARAMETROS!$E:AX,3,0)</f>
        <v>1602.86</v>
      </c>
      <c r="R38" s="442">
        <f>VLOOKUP('BANCO DADOS-CUSTO TOTAL'!$K38,PARAMETROS!$E:AY,4,0)</f>
        <v>0</v>
      </c>
      <c r="S38" s="442">
        <f>VLOOKUP('BANCO DADOS-CUSTO TOTAL'!$K38,PARAMETROS!$E:AZ,5,0)</f>
        <v>480.85799999999995</v>
      </c>
      <c r="T38" s="442">
        <f>VLOOKUP('BANCO DADOS-CUSTO TOTAL'!$K38,PARAMETROS!$E:BA,6,0)</f>
        <v>0</v>
      </c>
      <c r="U38" s="442">
        <f>VLOOKUP('BANCO DADOS-CUSTO TOTAL'!$K38,PARAMETROS!$E:BB,7,0)</f>
        <v>0</v>
      </c>
      <c r="V38" s="442">
        <f>VLOOKUP('BANCO DADOS-CUSTO TOTAL'!$K38,PARAMETROS!$E:BC,8,0)</f>
        <v>0</v>
      </c>
      <c r="W38" s="442">
        <f>VLOOKUP('BANCO DADOS-CUSTO TOTAL'!$K38,PARAMETROS!$E:BD,9,0)</f>
        <v>146.80740454545455</v>
      </c>
      <c r="X38" s="442">
        <f>VLOOKUP('BANCO DADOS-CUSTO TOTAL'!$K38,PARAMETROS!$E:BE,10,0)</f>
        <v>47.357227272727279</v>
      </c>
      <c r="Y38" s="443">
        <f t="shared" si="9"/>
        <v>2277.88</v>
      </c>
      <c r="Z38" s="456"/>
      <c r="AA38" s="444">
        <v>30</v>
      </c>
      <c r="AB38" s="445">
        <f t="shared" si="34"/>
        <v>30</v>
      </c>
      <c r="AC38" s="446">
        <f t="shared" si="35"/>
        <v>2277.88</v>
      </c>
      <c r="AD38" s="447">
        <f t="shared" si="36"/>
        <v>2277.88</v>
      </c>
      <c r="AE38" s="447">
        <f t="shared" si="37"/>
        <v>2277.88</v>
      </c>
      <c r="AF38" s="443">
        <f>IF(J38="EFETIVO",VLOOKUP(K38,PARAMETROS!$E:AX,11,0),0)</f>
        <v>112.9</v>
      </c>
      <c r="AG38" s="443">
        <f>VLOOKUP(H38,'VA E VT - APOIO.LIMPEZA'!F:AX,14,0)</f>
        <v>223.06049999999999</v>
      </c>
      <c r="AH38" s="443">
        <f>VLOOKUP($H38,'VA E VT - APOIO.LIMPEZA'!$F:AY,20,0)</f>
        <v>100.6784</v>
      </c>
      <c r="AI38" s="443">
        <f>IF($J38="EFETIVO",VLOOKUP($K38,PARAMETROS!$E:BA,14,0),0)</f>
        <v>91.08</v>
      </c>
      <c r="AJ38" s="443">
        <f>IF($J38="EFETIVO",VLOOKUP($K38,PARAMETROS!$E:BB,15,0),0)</f>
        <v>17.03</v>
      </c>
      <c r="AK38" s="443"/>
      <c r="AL38" s="443"/>
      <c r="AM38" s="443"/>
      <c r="AN38" s="443"/>
      <c r="AO38" s="448">
        <f t="shared" si="10"/>
        <v>544.74890000000005</v>
      </c>
      <c r="AP38" s="443">
        <f>IF($J38="EFETIVO",VLOOKUP($K38,PARAMETROS!$E:BH,20,0),0)</f>
        <v>62.37</v>
      </c>
      <c r="AQ38" s="446"/>
      <c r="AR38" s="443">
        <f>IF($J38="EFETIVO",VLOOKUP($K38,PARAMETROS!$E:BJ,22,0),0)</f>
        <v>58.53</v>
      </c>
      <c r="AS38" s="446"/>
      <c r="AT38" s="448">
        <f t="shared" si="11"/>
        <v>120.9</v>
      </c>
      <c r="AU38" s="448">
        <f t="shared" si="12"/>
        <v>838.25984000000005</v>
      </c>
      <c r="AV38" s="448">
        <f t="shared" si="13"/>
        <v>4.1001840000000005</v>
      </c>
      <c r="AW38" s="448">
        <f t="shared" si="13"/>
        <v>11.3894</v>
      </c>
      <c r="AX38" s="448">
        <f t="shared" si="13"/>
        <v>0.91115200000000007</v>
      </c>
      <c r="AY38" s="448">
        <f t="shared" si="13"/>
        <v>0.45557600000000004</v>
      </c>
      <c r="AZ38" s="448">
        <f t="shared" si="13"/>
        <v>7.9725800000000007</v>
      </c>
      <c r="BA38" s="448">
        <f t="shared" si="13"/>
        <v>2.9339094400000003</v>
      </c>
      <c r="BB38" s="448">
        <f t="shared" si="13"/>
        <v>3.8723960000000002</v>
      </c>
      <c r="BC38" s="448">
        <f t="shared" si="14"/>
        <v>27.53</v>
      </c>
      <c r="BD38" s="448">
        <f t="shared" si="15"/>
        <v>31.662531999999999</v>
      </c>
      <c r="BE38" s="448">
        <f t="shared" si="15"/>
        <v>19.134191999999999</v>
      </c>
      <c r="BF38" s="448">
        <f t="shared" si="15"/>
        <v>7.517004</v>
      </c>
      <c r="BG38" s="448">
        <f t="shared" si="15"/>
        <v>0</v>
      </c>
      <c r="BH38" s="448">
        <f t="shared" si="15"/>
        <v>21.459451904000002</v>
      </c>
      <c r="BI38" s="448">
        <f t="shared" si="16"/>
        <v>79.77</v>
      </c>
      <c r="BJ38" s="448">
        <f t="shared" si="17"/>
        <v>949.66</v>
      </c>
      <c r="BK38" s="448">
        <f t="shared" si="18"/>
        <v>189.74740400000002</v>
      </c>
      <c r="BL38" s="448">
        <f t="shared" si="19"/>
        <v>253.07246800000001</v>
      </c>
      <c r="BM38" s="448">
        <f t="shared" si="20"/>
        <v>69.827044672</v>
      </c>
      <c r="BN38" s="448">
        <f t="shared" si="21"/>
        <v>93.130668224000004</v>
      </c>
      <c r="BO38" s="448">
        <f t="shared" si="22"/>
        <v>97.94883999999999</v>
      </c>
      <c r="BP38" s="448"/>
      <c r="BQ38" s="448">
        <f t="shared" si="23"/>
        <v>703.72</v>
      </c>
      <c r="BR38" s="448">
        <f t="shared" si="24"/>
        <v>1653.38</v>
      </c>
      <c r="BS38" s="448">
        <f t="shared" si="25"/>
        <v>288.66000000000003</v>
      </c>
      <c r="BT38" s="448">
        <f t="shared" si="26"/>
        <v>346.26</v>
      </c>
      <c r="BU38" s="448">
        <f t="shared" si="27"/>
        <v>428.35910194000002</v>
      </c>
      <c r="BV38" s="448">
        <f t="shared" si="28"/>
        <v>66.571912000000012</v>
      </c>
      <c r="BW38" s="448">
        <f t="shared" si="29"/>
        <v>494.93101394000001</v>
      </c>
      <c r="BX38" s="448">
        <f t="shared" si="30"/>
        <v>1129.85101394</v>
      </c>
      <c r="BY38" s="448">
        <f t="shared" si="31"/>
        <v>5023.0399139399997</v>
      </c>
      <c r="BZ38" s="448">
        <f t="shared" si="32"/>
        <v>703.72</v>
      </c>
      <c r="CA38" s="448">
        <f t="shared" si="33"/>
        <v>5726.7599139399999</v>
      </c>
      <c r="CB38" s="449"/>
    </row>
    <row r="39" spans="1:80" s="450" customFormat="1" ht="15.75" customHeight="1">
      <c r="A39" s="435">
        <v>1</v>
      </c>
      <c r="B39" s="435">
        <v>1</v>
      </c>
      <c r="C39" s="435" t="s">
        <v>3287</v>
      </c>
      <c r="D39" s="436">
        <f>VLOOKUP(C39,ISS!A:B,2,0)</f>
        <v>0.05</v>
      </c>
      <c r="E39" s="437">
        <f t="shared" si="8"/>
        <v>9.4600000000000004E-2</v>
      </c>
      <c r="F39" s="438">
        <v>24</v>
      </c>
      <c r="G39" s="439">
        <v>12364</v>
      </c>
      <c r="H39" s="440" t="s">
        <v>3957</v>
      </c>
      <c r="I39" s="435" t="s">
        <v>3848</v>
      </c>
      <c r="J39" s="102" t="s">
        <v>3521</v>
      </c>
      <c r="K39" s="435" t="str">
        <f t="shared" si="38"/>
        <v>Belo HorizonteVIGILANTE ARMADO - 12X36 DIURNO</v>
      </c>
      <c r="L39" s="441" t="s">
        <v>3882</v>
      </c>
      <c r="M39" s="451"/>
      <c r="N39" s="102"/>
      <c r="O39" s="101"/>
      <c r="P39" s="101"/>
      <c r="Q39" s="442">
        <f>VLOOKUP('BANCO DADOS-CUSTO TOTAL'!$K39,PARAMETROS!$E:AX,3,0)</f>
        <v>1602.86</v>
      </c>
      <c r="R39" s="442">
        <f>VLOOKUP('BANCO DADOS-CUSTO TOTAL'!$K39,PARAMETROS!$E:AY,4,0)</f>
        <v>0</v>
      </c>
      <c r="S39" s="442">
        <f>VLOOKUP('BANCO DADOS-CUSTO TOTAL'!$K39,PARAMETROS!$E:AZ,5,0)</f>
        <v>480.85799999999995</v>
      </c>
      <c r="T39" s="442">
        <f>VLOOKUP('BANCO DADOS-CUSTO TOTAL'!$K39,PARAMETROS!$E:BA,6,0)</f>
        <v>0</v>
      </c>
      <c r="U39" s="442">
        <f>VLOOKUP('BANCO DADOS-CUSTO TOTAL'!$K39,PARAMETROS!$E:BB,7,0)</f>
        <v>0</v>
      </c>
      <c r="V39" s="442">
        <f>VLOOKUP('BANCO DADOS-CUSTO TOTAL'!$K39,PARAMETROS!$E:BC,8,0)</f>
        <v>0</v>
      </c>
      <c r="W39" s="442">
        <f>VLOOKUP('BANCO DADOS-CUSTO TOTAL'!$K39,PARAMETROS!$E:BD,9,0)</f>
        <v>146.80740454545455</v>
      </c>
      <c r="X39" s="442">
        <f>VLOOKUP('BANCO DADOS-CUSTO TOTAL'!$K39,PARAMETROS!$E:BE,10,0)</f>
        <v>47.357227272727279</v>
      </c>
      <c r="Y39" s="443">
        <f t="shared" si="9"/>
        <v>2277.88</v>
      </c>
      <c r="Z39" s="456"/>
      <c r="AA39" s="444">
        <v>30</v>
      </c>
      <c r="AB39" s="445">
        <f t="shared" si="34"/>
        <v>30</v>
      </c>
      <c r="AC39" s="446">
        <f t="shared" si="35"/>
        <v>2277.88</v>
      </c>
      <c r="AD39" s="447">
        <f t="shared" si="36"/>
        <v>2277.88</v>
      </c>
      <c r="AE39" s="447">
        <f t="shared" si="37"/>
        <v>2277.88</v>
      </c>
      <c r="AF39" s="443">
        <f>IF(J39="EFETIVO",VLOOKUP(K39,PARAMETROS!$E:AX,11,0),0)</f>
        <v>112.9</v>
      </c>
      <c r="AG39" s="443">
        <f>VLOOKUP(H39,'VA E VT - APOIO.LIMPEZA'!F:AX,14,0)</f>
        <v>223.06049999999999</v>
      </c>
      <c r="AH39" s="443">
        <f>VLOOKUP($H39,'VA E VT - APOIO.LIMPEZA'!$F:AY,20,0)</f>
        <v>100.6784</v>
      </c>
      <c r="AI39" s="443">
        <f>IF($J39="EFETIVO",VLOOKUP($K39,PARAMETROS!$E:BA,14,0),0)</f>
        <v>91.08</v>
      </c>
      <c r="AJ39" s="443">
        <f>IF($J39="EFETIVO",VLOOKUP($K39,PARAMETROS!$E:BB,15,0),0)</f>
        <v>17.03</v>
      </c>
      <c r="AK39" s="443"/>
      <c r="AL39" s="443"/>
      <c r="AM39" s="443"/>
      <c r="AN39" s="443"/>
      <c r="AO39" s="448">
        <f t="shared" si="10"/>
        <v>544.74890000000005</v>
      </c>
      <c r="AP39" s="443">
        <f>IF($J39="EFETIVO",VLOOKUP($K39,PARAMETROS!$E:BH,20,0),0)</f>
        <v>62.37</v>
      </c>
      <c r="AQ39" s="446"/>
      <c r="AR39" s="443">
        <f>IF($J39="EFETIVO",VLOOKUP($K39,PARAMETROS!$E:BJ,22,0),0)</f>
        <v>58.53</v>
      </c>
      <c r="AS39" s="446"/>
      <c r="AT39" s="448">
        <f t="shared" si="11"/>
        <v>120.9</v>
      </c>
      <c r="AU39" s="448">
        <f t="shared" si="12"/>
        <v>838.25984000000005</v>
      </c>
      <c r="AV39" s="448">
        <f t="shared" si="13"/>
        <v>4.1001840000000005</v>
      </c>
      <c r="AW39" s="448">
        <f t="shared" si="13"/>
        <v>11.3894</v>
      </c>
      <c r="AX39" s="448">
        <f t="shared" si="13"/>
        <v>0.91115200000000007</v>
      </c>
      <c r="AY39" s="448">
        <f t="shared" si="13"/>
        <v>0.45557600000000004</v>
      </c>
      <c r="AZ39" s="448">
        <f t="shared" si="13"/>
        <v>7.9725800000000007</v>
      </c>
      <c r="BA39" s="448">
        <f t="shared" si="13"/>
        <v>2.9339094400000003</v>
      </c>
      <c r="BB39" s="448">
        <f t="shared" si="13"/>
        <v>3.8723960000000002</v>
      </c>
      <c r="BC39" s="448">
        <f t="shared" si="14"/>
        <v>27.53</v>
      </c>
      <c r="BD39" s="448">
        <f t="shared" si="15"/>
        <v>31.662531999999999</v>
      </c>
      <c r="BE39" s="448">
        <f t="shared" si="15"/>
        <v>19.134191999999999</v>
      </c>
      <c r="BF39" s="448">
        <f t="shared" si="15"/>
        <v>7.517004</v>
      </c>
      <c r="BG39" s="448">
        <f t="shared" si="15"/>
        <v>0</v>
      </c>
      <c r="BH39" s="448">
        <f t="shared" si="15"/>
        <v>21.459451904000002</v>
      </c>
      <c r="BI39" s="448">
        <f t="shared" si="16"/>
        <v>79.77</v>
      </c>
      <c r="BJ39" s="448">
        <f t="shared" si="17"/>
        <v>949.66</v>
      </c>
      <c r="BK39" s="448">
        <f t="shared" si="18"/>
        <v>189.74740400000002</v>
      </c>
      <c r="BL39" s="448">
        <f t="shared" si="19"/>
        <v>253.07246800000001</v>
      </c>
      <c r="BM39" s="448">
        <f t="shared" si="20"/>
        <v>69.827044672</v>
      </c>
      <c r="BN39" s="448">
        <f t="shared" si="21"/>
        <v>93.130668224000004</v>
      </c>
      <c r="BO39" s="448">
        <f t="shared" si="22"/>
        <v>97.94883999999999</v>
      </c>
      <c r="BP39" s="448"/>
      <c r="BQ39" s="448">
        <f t="shared" si="23"/>
        <v>703.72</v>
      </c>
      <c r="BR39" s="448">
        <f t="shared" si="24"/>
        <v>1653.38</v>
      </c>
      <c r="BS39" s="448">
        <f t="shared" si="25"/>
        <v>288.66000000000003</v>
      </c>
      <c r="BT39" s="448">
        <f t="shared" si="26"/>
        <v>346.26</v>
      </c>
      <c r="BU39" s="448">
        <f t="shared" si="27"/>
        <v>428.35910194000002</v>
      </c>
      <c r="BV39" s="448">
        <f t="shared" si="28"/>
        <v>66.571912000000012</v>
      </c>
      <c r="BW39" s="448">
        <f t="shared" si="29"/>
        <v>494.93101394000001</v>
      </c>
      <c r="BX39" s="448">
        <f t="shared" si="30"/>
        <v>1129.85101394</v>
      </c>
      <c r="BY39" s="448">
        <f t="shared" si="31"/>
        <v>5023.0399139399997</v>
      </c>
      <c r="BZ39" s="448">
        <f t="shared" si="32"/>
        <v>703.72</v>
      </c>
      <c r="CA39" s="448">
        <f t="shared" si="33"/>
        <v>5726.7599139399999</v>
      </c>
      <c r="CB39" s="449"/>
    </row>
    <row r="40" spans="1:80" s="450" customFormat="1" ht="15.75" customHeight="1">
      <c r="A40" s="435">
        <v>1</v>
      </c>
      <c r="B40" s="435">
        <v>1</v>
      </c>
      <c r="C40" s="435" t="s">
        <v>3287</v>
      </c>
      <c r="D40" s="436">
        <f>VLOOKUP(C40,ISS!A:B,2,0)</f>
        <v>0.05</v>
      </c>
      <c r="E40" s="437">
        <f t="shared" si="8"/>
        <v>9.4600000000000004E-2</v>
      </c>
      <c r="F40" s="438">
        <v>25</v>
      </c>
      <c r="G40" s="439">
        <v>12365</v>
      </c>
      <c r="H40" s="440" t="s">
        <v>3958</v>
      </c>
      <c r="I40" s="435" t="s">
        <v>3848</v>
      </c>
      <c r="J40" s="102" t="s">
        <v>3521</v>
      </c>
      <c r="K40" s="435" t="str">
        <f t="shared" si="38"/>
        <v>Belo HorizonteVIGILANTE ARMADO - 12X36 DIURNO</v>
      </c>
      <c r="L40" s="441" t="s">
        <v>3882</v>
      </c>
      <c r="M40" s="451"/>
      <c r="N40" s="102"/>
      <c r="O40" s="101"/>
      <c r="P40" s="101"/>
      <c r="Q40" s="442">
        <f>VLOOKUP('BANCO DADOS-CUSTO TOTAL'!$K40,PARAMETROS!$E:AX,3,0)</f>
        <v>1602.86</v>
      </c>
      <c r="R40" s="442">
        <f>VLOOKUP('BANCO DADOS-CUSTO TOTAL'!$K40,PARAMETROS!$E:AY,4,0)</f>
        <v>0</v>
      </c>
      <c r="S40" s="442">
        <f>VLOOKUP('BANCO DADOS-CUSTO TOTAL'!$K40,PARAMETROS!$E:AZ,5,0)</f>
        <v>480.85799999999995</v>
      </c>
      <c r="T40" s="442">
        <f>VLOOKUP('BANCO DADOS-CUSTO TOTAL'!$K40,PARAMETROS!$E:BA,6,0)</f>
        <v>0</v>
      </c>
      <c r="U40" s="442">
        <f>VLOOKUP('BANCO DADOS-CUSTO TOTAL'!$K40,PARAMETROS!$E:BB,7,0)</f>
        <v>0</v>
      </c>
      <c r="V40" s="442">
        <f>VLOOKUP('BANCO DADOS-CUSTO TOTAL'!$K40,PARAMETROS!$E:BC,8,0)</f>
        <v>0</v>
      </c>
      <c r="W40" s="442">
        <f>VLOOKUP('BANCO DADOS-CUSTO TOTAL'!$K40,PARAMETROS!$E:BD,9,0)</f>
        <v>146.80740454545455</v>
      </c>
      <c r="X40" s="442">
        <f>VLOOKUP('BANCO DADOS-CUSTO TOTAL'!$K40,PARAMETROS!$E:BE,10,0)</f>
        <v>47.357227272727279</v>
      </c>
      <c r="Y40" s="443">
        <f t="shared" si="9"/>
        <v>2277.88</v>
      </c>
      <c r="Z40" s="456"/>
      <c r="AA40" s="444">
        <v>30</v>
      </c>
      <c r="AB40" s="445">
        <f t="shared" si="34"/>
        <v>30</v>
      </c>
      <c r="AC40" s="446">
        <f t="shared" si="35"/>
        <v>2277.88</v>
      </c>
      <c r="AD40" s="447">
        <f t="shared" si="36"/>
        <v>2277.88</v>
      </c>
      <c r="AE40" s="447">
        <f t="shared" si="37"/>
        <v>2277.88</v>
      </c>
      <c r="AF40" s="443">
        <f>IF(J40="EFETIVO",VLOOKUP(K40,PARAMETROS!$E:AX,11,0),0)</f>
        <v>112.9</v>
      </c>
      <c r="AG40" s="443">
        <f>VLOOKUP(H40,'VA E VT - APOIO.LIMPEZA'!F:AX,14,0)</f>
        <v>223.06049999999999</v>
      </c>
      <c r="AH40" s="443">
        <f>VLOOKUP($H40,'VA E VT - APOIO.LIMPEZA'!$F:AY,20,0)</f>
        <v>100.6784</v>
      </c>
      <c r="AI40" s="443">
        <f>IF($J40="EFETIVO",VLOOKUP($K40,PARAMETROS!$E:BA,14,0),0)</f>
        <v>91.08</v>
      </c>
      <c r="AJ40" s="443">
        <f>IF($J40="EFETIVO",VLOOKUP($K40,PARAMETROS!$E:BB,15,0),0)</f>
        <v>17.03</v>
      </c>
      <c r="AK40" s="443"/>
      <c r="AL40" s="443"/>
      <c r="AM40" s="443"/>
      <c r="AN40" s="443"/>
      <c r="AO40" s="448">
        <f t="shared" si="10"/>
        <v>544.74890000000005</v>
      </c>
      <c r="AP40" s="443">
        <f>IF($J40="EFETIVO",VLOOKUP($K40,PARAMETROS!$E:BH,20,0),0)</f>
        <v>62.37</v>
      </c>
      <c r="AQ40" s="446"/>
      <c r="AR40" s="443">
        <f>IF($J40="EFETIVO",VLOOKUP($K40,PARAMETROS!$E:BJ,22,0),0)</f>
        <v>58.53</v>
      </c>
      <c r="AS40" s="446"/>
      <c r="AT40" s="448">
        <f t="shared" si="11"/>
        <v>120.9</v>
      </c>
      <c r="AU40" s="448">
        <f t="shared" si="12"/>
        <v>838.25984000000005</v>
      </c>
      <c r="AV40" s="448">
        <f t="shared" si="13"/>
        <v>4.1001840000000005</v>
      </c>
      <c r="AW40" s="448">
        <f t="shared" si="13"/>
        <v>11.3894</v>
      </c>
      <c r="AX40" s="448">
        <f t="shared" si="13"/>
        <v>0.91115200000000007</v>
      </c>
      <c r="AY40" s="448">
        <f t="shared" si="13"/>
        <v>0.45557600000000004</v>
      </c>
      <c r="AZ40" s="448">
        <f t="shared" si="13"/>
        <v>7.9725800000000007</v>
      </c>
      <c r="BA40" s="448">
        <f t="shared" si="13"/>
        <v>2.9339094400000003</v>
      </c>
      <c r="BB40" s="448">
        <f t="shared" si="13"/>
        <v>3.8723960000000002</v>
      </c>
      <c r="BC40" s="448">
        <f t="shared" si="14"/>
        <v>27.53</v>
      </c>
      <c r="BD40" s="448">
        <f t="shared" si="15"/>
        <v>31.662531999999999</v>
      </c>
      <c r="BE40" s="448">
        <f t="shared" si="15"/>
        <v>19.134191999999999</v>
      </c>
      <c r="BF40" s="448">
        <f t="shared" si="15"/>
        <v>7.517004</v>
      </c>
      <c r="BG40" s="448">
        <f t="shared" si="15"/>
        <v>0</v>
      </c>
      <c r="BH40" s="448">
        <f t="shared" si="15"/>
        <v>21.459451904000002</v>
      </c>
      <c r="BI40" s="448">
        <f t="shared" si="16"/>
        <v>79.77</v>
      </c>
      <c r="BJ40" s="448">
        <f t="shared" si="17"/>
        <v>949.66</v>
      </c>
      <c r="BK40" s="448">
        <f t="shared" si="18"/>
        <v>189.74740400000002</v>
      </c>
      <c r="BL40" s="448">
        <f t="shared" si="19"/>
        <v>253.07246800000001</v>
      </c>
      <c r="BM40" s="448">
        <f t="shared" si="20"/>
        <v>69.827044672</v>
      </c>
      <c r="BN40" s="448">
        <f t="shared" si="21"/>
        <v>93.130668224000004</v>
      </c>
      <c r="BO40" s="448">
        <f t="shared" si="22"/>
        <v>97.94883999999999</v>
      </c>
      <c r="BP40" s="448"/>
      <c r="BQ40" s="448">
        <f t="shared" si="23"/>
        <v>703.72</v>
      </c>
      <c r="BR40" s="448">
        <f t="shared" si="24"/>
        <v>1653.38</v>
      </c>
      <c r="BS40" s="448">
        <f t="shared" si="25"/>
        <v>288.66000000000003</v>
      </c>
      <c r="BT40" s="448">
        <f t="shared" si="26"/>
        <v>346.26</v>
      </c>
      <c r="BU40" s="448">
        <f t="shared" si="27"/>
        <v>428.35910194000002</v>
      </c>
      <c r="BV40" s="448">
        <f t="shared" si="28"/>
        <v>66.571912000000012</v>
      </c>
      <c r="BW40" s="448">
        <f t="shared" si="29"/>
        <v>494.93101394000001</v>
      </c>
      <c r="BX40" s="448">
        <f t="shared" si="30"/>
        <v>1129.85101394</v>
      </c>
      <c r="BY40" s="448">
        <f t="shared" si="31"/>
        <v>5023.0399139399997</v>
      </c>
      <c r="BZ40" s="448">
        <f t="shared" si="32"/>
        <v>703.72</v>
      </c>
      <c r="CA40" s="448">
        <f t="shared" si="33"/>
        <v>5726.7599139399999</v>
      </c>
      <c r="CB40" s="449"/>
    </row>
    <row r="41" spans="1:80" s="450" customFormat="1" ht="15.75" customHeight="1">
      <c r="A41" s="435">
        <v>1</v>
      </c>
      <c r="B41" s="435">
        <v>1</v>
      </c>
      <c r="C41" s="435" t="s">
        <v>3287</v>
      </c>
      <c r="D41" s="436">
        <f>VLOOKUP(C41,ISS!A:B,2,0)</f>
        <v>0.05</v>
      </c>
      <c r="E41" s="437">
        <f t="shared" si="8"/>
        <v>9.4600000000000004E-2</v>
      </c>
      <c r="F41" s="438">
        <v>26</v>
      </c>
      <c r="G41" s="439">
        <v>12366</v>
      </c>
      <c r="H41" s="440" t="s">
        <v>3959</v>
      </c>
      <c r="I41" s="435" t="s">
        <v>3850</v>
      </c>
      <c r="J41" s="102" t="s">
        <v>3521</v>
      </c>
      <c r="K41" s="435" t="str">
        <f t="shared" si="38"/>
        <v>Belo HorizonteVIGILANTE ARMADO - 12X36 NOTURNO</v>
      </c>
      <c r="L41" s="441" t="s">
        <v>3875</v>
      </c>
      <c r="M41" s="451"/>
      <c r="N41" s="102"/>
      <c r="O41" s="101"/>
      <c r="P41" s="101"/>
      <c r="Q41" s="442">
        <f>VLOOKUP('BANCO DADOS-CUSTO TOTAL'!$K41,PARAMETROS!$E:AX,3,0)</f>
        <v>1602.86</v>
      </c>
      <c r="R41" s="442">
        <f>VLOOKUP('BANCO DADOS-CUSTO TOTAL'!$K41,PARAMETROS!$E:AY,4,0)</f>
        <v>0</v>
      </c>
      <c r="S41" s="442">
        <f>VLOOKUP('BANCO DADOS-CUSTO TOTAL'!$K41,PARAMETROS!$E:AZ,5,0)</f>
        <v>480.85799999999995</v>
      </c>
      <c r="T41" s="442">
        <f>VLOOKUP('BANCO DADOS-CUSTO TOTAL'!$K41,PARAMETROS!$E:BA,6,0)</f>
        <v>411.06073272727275</v>
      </c>
      <c r="U41" s="442">
        <f>VLOOKUP('BANCO DADOS-CUSTO TOTAL'!$K41,PARAMETROS!$E:BB,7,0)</f>
        <v>0</v>
      </c>
      <c r="V41" s="442">
        <f>VLOOKUP('BANCO DADOS-CUSTO TOTAL'!$K41,PARAMETROS!$E:BC,8,0)</f>
        <v>0</v>
      </c>
      <c r="W41" s="442">
        <f>VLOOKUP('BANCO DADOS-CUSTO TOTAL'!$K41,PARAMETROS!$E:BD,9,0)</f>
        <v>175.76850162396693</v>
      </c>
      <c r="X41" s="442">
        <f>VLOOKUP('BANCO DADOS-CUSTO TOTAL'!$K41,PARAMETROS!$E:BE,10,0)</f>
        <v>47.357227272727279</v>
      </c>
      <c r="Y41" s="443">
        <f t="shared" si="9"/>
        <v>2717.9</v>
      </c>
      <c r="Z41" s="457"/>
      <c r="AA41" s="444">
        <v>30</v>
      </c>
      <c r="AB41" s="445">
        <f t="shared" si="34"/>
        <v>30</v>
      </c>
      <c r="AC41" s="446">
        <f t="shared" si="35"/>
        <v>2717.9</v>
      </c>
      <c r="AD41" s="447">
        <f t="shared" si="36"/>
        <v>2717.9</v>
      </c>
      <c r="AE41" s="447">
        <f t="shared" si="37"/>
        <v>2717.9</v>
      </c>
      <c r="AF41" s="443">
        <f>IF(J41="EFETIVO",VLOOKUP(K41,PARAMETROS!$E:AX,11,0),0)</f>
        <v>112.9</v>
      </c>
      <c r="AG41" s="443">
        <f>VLOOKUP(H41,'VA E VT - APOIO.LIMPEZA'!F:AX,14,0)</f>
        <v>223.06049999999999</v>
      </c>
      <c r="AH41" s="443">
        <f>VLOOKUP($H41,'VA E VT - APOIO.LIMPEZA'!$F:AY,20,0)</f>
        <v>100.6784</v>
      </c>
      <c r="AI41" s="443">
        <f>IF($J41="EFETIVO",VLOOKUP($K41,PARAMETROS!$E:BA,14,0),0)</f>
        <v>91.08</v>
      </c>
      <c r="AJ41" s="443">
        <f>IF($J41="EFETIVO",VLOOKUP($K41,PARAMETROS!$E:BB,15,0),0)</f>
        <v>17.03</v>
      </c>
      <c r="AK41" s="443"/>
      <c r="AL41" s="443"/>
      <c r="AM41" s="443"/>
      <c r="AN41" s="443"/>
      <c r="AO41" s="448">
        <f t="shared" si="10"/>
        <v>544.74890000000005</v>
      </c>
      <c r="AP41" s="443">
        <f>IF($J41="EFETIVO",VLOOKUP($K41,PARAMETROS!$E:BH,20,0),0)</f>
        <v>62.37</v>
      </c>
      <c r="AQ41" s="446"/>
      <c r="AR41" s="443">
        <f>IF($J41="EFETIVO",VLOOKUP($K41,PARAMETROS!$E:BJ,22,0),0)</f>
        <v>58.53</v>
      </c>
      <c r="AS41" s="446"/>
      <c r="AT41" s="448">
        <f t="shared" si="11"/>
        <v>120.9</v>
      </c>
      <c r="AU41" s="448">
        <f t="shared" si="12"/>
        <v>1000.1872</v>
      </c>
      <c r="AV41" s="448">
        <f t="shared" si="13"/>
        <v>4.89222</v>
      </c>
      <c r="AW41" s="448">
        <f t="shared" si="13"/>
        <v>13.589500000000001</v>
      </c>
      <c r="AX41" s="448">
        <f t="shared" si="13"/>
        <v>1.0871600000000001</v>
      </c>
      <c r="AY41" s="448">
        <f t="shared" si="13"/>
        <v>0.54358000000000006</v>
      </c>
      <c r="AZ41" s="448">
        <f t="shared" si="13"/>
        <v>9.5126500000000007</v>
      </c>
      <c r="BA41" s="448">
        <f t="shared" si="13"/>
        <v>3.5006552000000002</v>
      </c>
      <c r="BB41" s="448">
        <f t="shared" si="13"/>
        <v>4.6204299999999998</v>
      </c>
      <c r="BC41" s="448">
        <f t="shared" si="14"/>
        <v>32.85</v>
      </c>
      <c r="BD41" s="448">
        <f t="shared" si="15"/>
        <v>37.77881</v>
      </c>
      <c r="BE41" s="448">
        <f t="shared" si="15"/>
        <v>22.830359999999999</v>
      </c>
      <c r="BF41" s="448">
        <f t="shared" si="15"/>
        <v>8.9690700000000003</v>
      </c>
      <c r="BG41" s="448">
        <f t="shared" si="15"/>
        <v>0</v>
      </c>
      <c r="BH41" s="448">
        <f t="shared" si="15"/>
        <v>25.604792320000001</v>
      </c>
      <c r="BI41" s="448">
        <f t="shared" si="16"/>
        <v>95.18</v>
      </c>
      <c r="BJ41" s="448">
        <f t="shared" si="17"/>
        <v>1133.0999999999999</v>
      </c>
      <c r="BK41" s="448">
        <f>IF($N41="FÉRIAS",$AD41*$BK$10,IF($AB41&gt;=15,$AD41*$BK$10,0))</f>
        <v>226.40107</v>
      </c>
      <c r="BL41" s="448">
        <f t="shared" si="19"/>
        <v>301.95869000000005</v>
      </c>
      <c r="BM41" s="448">
        <f t="shared" si="20"/>
        <v>83.315593759999999</v>
      </c>
      <c r="BN41" s="448">
        <f t="shared" si="21"/>
        <v>111.12079792000002</v>
      </c>
      <c r="BO41" s="448">
        <f t="shared" si="22"/>
        <v>116.86969999999999</v>
      </c>
      <c r="BP41" s="448"/>
      <c r="BQ41" s="448">
        <f t="shared" si="23"/>
        <v>839.66</v>
      </c>
      <c r="BR41" s="448">
        <f t="shared" si="24"/>
        <v>1972.76</v>
      </c>
      <c r="BS41" s="448">
        <f t="shared" si="25"/>
        <v>288.66000000000003</v>
      </c>
      <c r="BT41" s="448">
        <f t="shared" si="26"/>
        <v>346.26</v>
      </c>
      <c r="BU41" s="448">
        <f t="shared" si="27"/>
        <v>487.33841794000006</v>
      </c>
      <c r="BV41" s="448">
        <f t="shared" si="28"/>
        <v>79.431836000000004</v>
      </c>
      <c r="BW41" s="448">
        <f t="shared" si="29"/>
        <v>566.77025394000009</v>
      </c>
      <c r="BX41" s="448">
        <f t="shared" si="30"/>
        <v>1201.6902539400003</v>
      </c>
      <c r="BY41" s="448">
        <f t="shared" si="31"/>
        <v>5718.33915394</v>
      </c>
      <c r="BZ41" s="448">
        <f t="shared" si="32"/>
        <v>839.66</v>
      </c>
      <c r="CA41" s="448">
        <f t="shared" si="33"/>
        <v>6557.9991539399998</v>
      </c>
      <c r="CB41" s="449"/>
    </row>
    <row r="42" spans="1:80" s="450" customFormat="1" ht="15.75" customHeight="1">
      <c r="A42" s="435">
        <v>1</v>
      </c>
      <c r="B42" s="435">
        <v>1</v>
      </c>
      <c r="C42" s="435" t="s">
        <v>3287</v>
      </c>
      <c r="D42" s="436">
        <f>VLOOKUP(C42,ISS!A:B,2,0)</f>
        <v>0.05</v>
      </c>
      <c r="E42" s="437">
        <f t="shared" si="8"/>
        <v>9.4600000000000004E-2</v>
      </c>
      <c r="F42" s="438">
        <v>27</v>
      </c>
      <c r="G42" s="439">
        <v>12367</v>
      </c>
      <c r="H42" s="440" t="s">
        <v>3960</v>
      </c>
      <c r="I42" s="435" t="s">
        <v>3850</v>
      </c>
      <c r="J42" s="102" t="s">
        <v>3521</v>
      </c>
      <c r="K42" s="435" t="str">
        <f t="shared" si="38"/>
        <v>Belo HorizonteVIGILANTE ARMADO - 12X36 NOTURNO</v>
      </c>
      <c r="L42" s="441" t="s">
        <v>3882</v>
      </c>
      <c r="M42" s="451"/>
      <c r="N42" s="102"/>
      <c r="O42" s="101"/>
      <c r="P42" s="101"/>
      <c r="Q42" s="442">
        <f>VLOOKUP('BANCO DADOS-CUSTO TOTAL'!$K42,PARAMETROS!$E:AX,3,0)</f>
        <v>1602.86</v>
      </c>
      <c r="R42" s="442">
        <f>VLOOKUP('BANCO DADOS-CUSTO TOTAL'!$K42,PARAMETROS!$E:AY,4,0)</f>
        <v>0</v>
      </c>
      <c r="S42" s="442">
        <f>VLOOKUP('BANCO DADOS-CUSTO TOTAL'!$K42,PARAMETROS!$E:AZ,5,0)</f>
        <v>480.85799999999995</v>
      </c>
      <c r="T42" s="442">
        <f>VLOOKUP('BANCO DADOS-CUSTO TOTAL'!$K42,PARAMETROS!$E:BA,6,0)</f>
        <v>411.06073272727275</v>
      </c>
      <c r="U42" s="442">
        <f>VLOOKUP('BANCO DADOS-CUSTO TOTAL'!$K42,PARAMETROS!$E:BB,7,0)</f>
        <v>0</v>
      </c>
      <c r="V42" s="442">
        <f>VLOOKUP('BANCO DADOS-CUSTO TOTAL'!$K42,PARAMETROS!$E:BC,8,0)</f>
        <v>0</v>
      </c>
      <c r="W42" s="442">
        <f>VLOOKUP('BANCO DADOS-CUSTO TOTAL'!$K42,PARAMETROS!$E:BD,9,0)</f>
        <v>175.76850162396693</v>
      </c>
      <c r="X42" s="442">
        <f>VLOOKUP('BANCO DADOS-CUSTO TOTAL'!$K42,PARAMETROS!$E:BE,10,0)</f>
        <v>47.357227272727279</v>
      </c>
      <c r="Y42" s="443">
        <f t="shared" si="9"/>
        <v>2717.9</v>
      </c>
      <c r="Z42" s="458"/>
      <c r="AA42" s="444">
        <v>30</v>
      </c>
      <c r="AB42" s="445">
        <f t="shared" si="34"/>
        <v>30</v>
      </c>
      <c r="AC42" s="446">
        <f t="shared" si="35"/>
        <v>2717.9</v>
      </c>
      <c r="AD42" s="447">
        <f t="shared" si="36"/>
        <v>2717.9</v>
      </c>
      <c r="AE42" s="447">
        <f t="shared" si="37"/>
        <v>2717.9</v>
      </c>
      <c r="AF42" s="443">
        <f>IF(J42="EFETIVO",VLOOKUP(K42,PARAMETROS!$E:AX,11,0),0)</f>
        <v>112.9</v>
      </c>
      <c r="AG42" s="443">
        <f>VLOOKUP(H42,'VA E VT - APOIO.LIMPEZA'!F:AX,14,0)</f>
        <v>223.06049999999999</v>
      </c>
      <c r="AH42" s="443">
        <f>VLOOKUP($H42,'VA E VT - APOIO.LIMPEZA'!$F:AY,20,0)</f>
        <v>100.6784</v>
      </c>
      <c r="AI42" s="443">
        <f>IF($J42="EFETIVO",VLOOKUP($K42,PARAMETROS!$E:BA,14,0),0)</f>
        <v>91.08</v>
      </c>
      <c r="AJ42" s="443">
        <f>IF($J42="EFETIVO",VLOOKUP($K42,PARAMETROS!$E:BB,15,0),0)</f>
        <v>17.03</v>
      </c>
      <c r="AK42" s="443"/>
      <c r="AL42" s="443"/>
      <c r="AM42" s="443"/>
      <c r="AN42" s="443"/>
      <c r="AO42" s="448">
        <f t="shared" si="10"/>
        <v>544.74890000000005</v>
      </c>
      <c r="AP42" s="443">
        <f>IF($J42="EFETIVO",VLOOKUP($K42,PARAMETROS!$E:BH,20,0),0)</f>
        <v>62.37</v>
      </c>
      <c r="AQ42" s="446"/>
      <c r="AR42" s="443">
        <f>IF($J42="EFETIVO",VLOOKUP($K42,PARAMETROS!$E:BJ,22,0),0)</f>
        <v>58.53</v>
      </c>
      <c r="AS42" s="446"/>
      <c r="AT42" s="448">
        <f t="shared" si="11"/>
        <v>120.9</v>
      </c>
      <c r="AU42" s="448">
        <f t="shared" si="12"/>
        <v>1000.1872</v>
      </c>
      <c r="AV42" s="448">
        <f t="shared" si="13"/>
        <v>4.89222</v>
      </c>
      <c r="AW42" s="448">
        <f t="shared" si="13"/>
        <v>13.589500000000001</v>
      </c>
      <c r="AX42" s="448">
        <f t="shared" si="13"/>
        <v>1.0871600000000001</v>
      </c>
      <c r="AY42" s="448">
        <f t="shared" si="13"/>
        <v>0.54358000000000006</v>
      </c>
      <c r="AZ42" s="448">
        <f t="shared" si="13"/>
        <v>9.5126500000000007</v>
      </c>
      <c r="BA42" s="448">
        <f t="shared" si="13"/>
        <v>3.5006552000000002</v>
      </c>
      <c r="BB42" s="448">
        <f t="shared" si="13"/>
        <v>4.6204299999999998</v>
      </c>
      <c r="BC42" s="448">
        <f t="shared" si="14"/>
        <v>32.85</v>
      </c>
      <c r="BD42" s="448">
        <f t="shared" si="15"/>
        <v>37.77881</v>
      </c>
      <c r="BE42" s="448">
        <f t="shared" si="15"/>
        <v>22.830359999999999</v>
      </c>
      <c r="BF42" s="448">
        <f t="shared" si="15"/>
        <v>8.9690700000000003</v>
      </c>
      <c r="BG42" s="448">
        <f t="shared" si="15"/>
        <v>0</v>
      </c>
      <c r="BH42" s="448">
        <f t="shared" si="15"/>
        <v>25.604792320000001</v>
      </c>
      <c r="BI42" s="448">
        <f t="shared" si="16"/>
        <v>95.18</v>
      </c>
      <c r="BJ42" s="448">
        <f t="shared" si="17"/>
        <v>1133.0999999999999</v>
      </c>
      <c r="BK42" s="448">
        <f t="shared" si="18"/>
        <v>226.40107</v>
      </c>
      <c r="BL42" s="448">
        <f t="shared" si="19"/>
        <v>301.95869000000005</v>
      </c>
      <c r="BM42" s="448">
        <f t="shared" si="20"/>
        <v>83.315593759999999</v>
      </c>
      <c r="BN42" s="448">
        <f t="shared" si="21"/>
        <v>111.12079792000002</v>
      </c>
      <c r="BO42" s="448">
        <f t="shared" si="22"/>
        <v>116.86969999999999</v>
      </c>
      <c r="BP42" s="448"/>
      <c r="BQ42" s="448">
        <f t="shared" si="23"/>
        <v>839.66</v>
      </c>
      <c r="BR42" s="448">
        <f t="shared" si="24"/>
        <v>1972.76</v>
      </c>
      <c r="BS42" s="448">
        <f t="shared" si="25"/>
        <v>288.66000000000003</v>
      </c>
      <c r="BT42" s="448">
        <f t="shared" si="26"/>
        <v>346.26</v>
      </c>
      <c r="BU42" s="448">
        <f t="shared" si="27"/>
        <v>487.33841794000006</v>
      </c>
      <c r="BV42" s="448">
        <f t="shared" si="28"/>
        <v>79.431836000000004</v>
      </c>
      <c r="BW42" s="448">
        <f t="shared" si="29"/>
        <v>566.77025394000009</v>
      </c>
      <c r="BX42" s="448">
        <f t="shared" si="30"/>
        <v>1201.6902539400003</v>
      </c>
      <c r="BY42" s="448">
        <f t="shared" si="31"/>
        <v>5718.33915394</v>
      </c>
      <c r="BZ42" s="448">
        <f t="shared" si="32"/>
        <v>839.66</v>
      </c>
      <c r="CA42" s="448">
        <f t="shared" si="33"/>
        <v>6557.9991539399998</v>
      </c>
      <c r="CB42" s="449"/>
    </row>
    <row r="43" spans="1:80" s="450" customFormat="1" ht="15.75" customHeight="1">
      <c r="A43" s="435">
        <v>1</v>
      </c>
      <c r="B43" s="435">
        <v>1</v>
      </c>
      <c r="C43" s="435" t="s">
        <v>3287</v>
      </c>
      <c r="D43" s="436">
        <f>VLOOKUP(C43,ISS!A:B,2,0)</f>
        <v>0.05</v>
      </c>
      <c r="E43" s="437">
        <f t="shared" si="8"/>
        <v>9.4600000000000004E-2</v>
      </c>
      <c r="F43" s="438">
        <v>28</v>
      </c>
      <c r="G43" s="439">
        <v>12368</v>
      </c>
      <c r="H43" s="440" t="s">
        <v>3961</v>
      </c>
      <c r="I43" s="435" t="s">
        <v>3850</v>
      </c>
      <c r="J43" s="102" t="s">
        <v>3521</v>
      </c>
      <c r="K43" s="435" t="str">
        <f t="shared" si="38"/>
        <v>Belo HorizonteVIGILANTE ARMADO - 12X36 NOTURNO</v>
      </c>
      <c r="L43" s="441" t="s">
        <v>3882</v>
      </c>
      <c r="M43" s="451"/>
      <c r="N43" s="102"/>
      <c r="O43" s="101"/>
      <c r="P43" s="101"/>
      <c r="Q43" s="442">
        <f>VLOOKUP('BANCO DADOS-CUSTO TOTAL'!$K43,PARAMETROS!$E:AX,3,0)</f>
        <v>1602.86</v>
      </c>
      <c r="R43" s="442">
        <f>VLOOKUP('BANCO DADOS-CUSTO TOTAL'!$K43,PARAMETROS!$E:AY,4,0)</f>
        <v>0</v>
      </c>
      <c r="S43" s="442">
        <f>VLOOKUP('BANCO DADOS-CUSTO TOTAL'!$K43,PARAMETROS!$E:AZ,5,0)</f>
        <v>480.85799999999995</v>
      </c>
      <c r="T43" s="442">
        <f>VLOOKUP('BANCO DADOS-CUSTO TOTAL'!$K43,PARAMETROS!$E:BA,6,0)</f>
        <v>411.06073272727275</v>
      </c>
      <c r="U43" s="442">
        <f>VLOOKUP('BANCO DADOS-CUSTO TOTAL'!$K43,PARAMETROS!$E:BB,7,0)</f>
        <v>0</v>
      </c>
      <c r="V43" s="442">
        <f>VLOOKUP('BANCO DADOS-CUSTO TOTAL'!$K43,PARAMETROS!$E:BC,8,0)</f>
        <v>0</v>
      </c>
      <c r="W43" s="442">
        <f>VLOOKUP('BANCO DADOS-CUSTO TOTAL'!$K43,PARAMETROS!$E:BD,9,0)</f>
        <v>175.76850162396693</v>
      </c>
      <c r="X43" s="442">
        <f>VLOOKUP('BANCO DADOS-CUSTO TOTAL'!$K43,PARAMETROS!$E:BE,10,0)</f>
        <v>47.357227272727279</v>
      </c>
      <c r="Y43" s="443">
        <f t="shared" si="9"/>
        <v>2717.9</v>
      </c>
      <c r="Z43" s="458"/>
      <c r="AA43" s="444">
        <v>30</v>
      </c>
      <c r="AB43" s="445">
        <f t="shared" si="34"/>
        <v>30</v>
      </c>
      <c r="AC43" s="446">
        <f t="shared" si="35"/>
        <v>2717.9</v>
      </c>
      <c r="AD43" s="447">
        <f t="shared" si="36"/>
        <v>2717.9</v>
      </c>
      <c r="AE43" s="447">
        <f t="shared" si="37"/>
        <v>2717.9</v>
      </c>
      <c r="AF43" s="443">
        <f>IF(J43="EFETIVO",VLOOKUP(K43,PARAMETROS!$E:AX,11,0),0)</f>
        <v>112.9</v>
      </c>
      <c r="AG43" s="443">
        <f>VLOOKUP(H43,'VA E VT - APOIO.LIMPEZA'!F:AX,14,0)</f>
        <v>223.06049999999999</v>
      </c>
      <c r="AH43" s="443">
        <f>VLOOKUP($H43,'VA E VT - APOIO.LIMPEZA'!$F:AY,20,0)</f>
        <v>100.6784</v>
      </c>
      <c r="AI43" s="443">
        <f>IF($J43="EFETIVO",VLOOKUP($K43,PARAMETROS!$E:BA,14,0),0)</f>
        <v>91.08</v>
      </c>
      <c r="AJ43" s="443">
        <f>IF($J43="EFETIVO",VLOOKUP($K43,PARAMETROS!$E:BB,15,0),0)</f>
        <v>17.03</v>
      </c>
      <c r="AK43" s="443"/>
      <c r="AL43" s="443"/>
      <c r="AM43" s="443"/>
      <c r="AN43" s="443"/>
      <c r="AO43" s="448">
        <f t="shared" si="10"/>
        <v>544.74890000000005</v>
      </c>
      <c r="AP43" s="443">
        <f>IF($J43="EFETIVO",VLOOKUP($K43,PARAMETROS!$E:BH,20,0),0)</f>
        <v>62.37</v>
      </c>
      <c r="AQ43" s="446"/>
      <c r="AR43" s="443">
        <f>IF($J43="EFETIVO",VLOOKUP($K43,PARAMETROS!$E:BJ,22,0),0)</f>
        <v>58.53</v>
      </c>
      <c r="AS43" s="446"/>
      <c r="AT43" s="448">
        <f t="shared" si="11"/>
        <v>120.9</v>
      </c>
      <c r="AU43" s="448">
        <f t="shared" si="12"/>
        <v>1000.1872</v>
      </c>
      <c r="AV43" s="448">
        <f t="shared" si="13"/>
        <v>4.89222</v>
      </c>
      <c r="AW43" s="448">
        <f t="shared" si="13"/>
        <v>13.589500000000001</v>
      </c>
      <c r="AX43" s="448">
        <f t="shared" si="13"/>
        <v>1.0871600000000001</v>
      </c>
      <c r="AY43" s="448">
        <f t="shared" si="13"/>
        <v>0.54358000000000006</v>
      </c>
      <c r="AZ43" s="448">
        <f t="shared" si="13"/>
        <v>9.5126500000000007</v>
      </c>
      <c r="BA43" s="448">
        <f t="shared" si="13"/>
        <v>3.5006552000000002</v>
      </c>
      <c r="BB43" s="448">
        <f t="shared" si="13"/>
        <v>4.6204299999999998</v>
      </c>
      <c r="BC43" s="448">
        <f t="shared" si="14"/>
        <v>32.85</v>
      </c>
      <c r="BD43" s="448">
        <f t="shared" si="15"/>
        <v>37.77881</v>
      </c>
      <c r="BE43" s="448">
        <f t="shared" si="15"/>
        <v>22.830359999999999</v>
      </c>
      <c r="BF43" s="448">
        <f t="shared" si="15"/>
        <v>8.9690700000000003</v>
      </c>
      <c r="BG43" s="448">
        <f t="shared" si="15"/>
        <v>0</v>
      </c>
      <c r="BH43" s="448">
        <f t="shared" si="15"/>
        <v>25.604792320000001</v>
      </c>
      <c r="BI43" s="448">
        <f t="shared" si="16"/>
        <v>95.18</v>
      </c>
      <c r="BJ43" s="448">
        <f t="shared" si="17"/>
        <v>1133.0999999999999</v>
      </c>
      <c r="BK43" s="448">
        <f t="shared" si="18"/>
        <v>226.40107</v>
      </c>
      <c r="BL43" s="448">
        <f t="shared" si="19"/>
        <v>301.95869000000005</v>
      </c>
      <c r="BM43" s="448">
        <f t="shared" si="20"/>
        <v>83.315593759999999</v>
      </c>
      <c r="BN43" s="448">
        <f t="shared" si="21"/>
        <v>111.12079792000002</v>
      </c>
      <c r="BO43" s="448">
        <f>$BO$10*AE43</f>
        <v>116.86969999999999</v>
      </c>
      <c r="BP43" s="448"/>
      <c r="BQ43" s="448">
        <f t="shared" si="23"/>
        <v>839.66</v>
      </c>
      <c r="BR43" s="448">
        <f t="shared" si="24"/>
        <v>1972.76</v>
      </c>
      <c r="BS43" s="448">
        <f t="shared" si="25"/>
        <v>288.66000000000003</v>
      </c>
      <c r="BT43" s="448">
        <f t="shared" si="26"/>
        <v>346.26</v>
      </c>
      <c r="BU43" s="448">
        <f t="shared" si="27"/>
        <v>487.33841794000006</v>
      </c>
      <c r="BV43" s="448">
        <f t="shared" si="28"/>
        <v>79.431836000000004</v>
      </c>
      <c r="BW43" s="448">
        <f t="shared" si="29"/>
        <v>566.77025394000009</v>
      </c>
      <c r="BX43" s="448">
        <f t="shared" si="30"/>
        <v>1201.6902539400003</v>
      </c>
      <c r="BY43" s="448">
        <f t="shared" si="31"/>
        <v>5718.33915394</v>
      </c>
      <c r="BZ43" s="448">
        <f t="shared" si="32"/>
        <v>839.66</v>
      </c>
      <c r="CA43" s="448">
        <f t="shared" si="33"/>
        <v>6557.9991539399998</v>
      </c>
      <c r="CB43" s="449"/>
    </row>
    <row r="44" spans="1:80" s="514" customFormat="1" ht="15.75" customHeight="1">
      <c r="A44" s="499">
        <v>1</v>
      </c>
      <c r="B44" s="499">
        <v>1</v>
      </c>
      <c r="C44" s="499" t="s">
        <v>3287</v>
      </c>
      <c r="D44" s="577">
        <f>VLOOKUP(C44,ISS!A:B,2,0)</f>
        <v>0.05</v>
      </c>
      <c r="E44" s="582">
        <f t="shared" si="8"/>
        <v>9.4600000000000004E-2</v>
      </c>
      <c r="F44" s="500">
        <v>29</v>
      </c>
      <c r="G44" s="501">
        <v>12369</v>
      </c>
      <c r="H44" s="502" t="s">
        <v>3962</v>
      </c>
      <c r="I44" s="499" t="s">
        <v>3850</v>
      </c>
      <c r="J44" s="503" t="s">
        <v>3521</v>
      </c>
      <c r="K44" s="499" t="str">
        <f t="shared" si="38"/>
        <v>Belo HorizonteVIGILANTE ARMADO - 12X36 NOTURNO</v>
      </c>
      <c r="L44" s="504" t="s">
        <v>3882</v>
      </c>
      <c r="M44" s="515"/>
      <c r="N44" s="503" t="s">
        <v>3778</v>
      </c>
      <c r="O44" s="516" t="s">
        <v>3918</v>
      </c>
      <c r="P44" s="516"/>
      <c r="Q44" s="505">
        <f>VLOOKUP('BANCO DADOS-CUSTO TOTAL'!$K44,PARAMETROS!$E:AX,3,0)</f>
        <v>1602.86</v>
      </c>
      <c r="R44" s="505">
        <f>VLOOKUP('BANCO DADOS-CUSTO TOTAL'!$K44,PARAMETROS!$E:AY,4,0)</f>
        <v>0</v>
      </c>
      <c r="S44" s="505">
        <f>VLOOKUP('BANCO DADOS-CUSTO TOTAL'!$K44,PARAMETROS!$E:AZ,5,0)</f>
        <v>480.85799999999995</v>
      </c>
      <c r="T44" s="505">
        <f>VLOOKUP('BANCO DADOS-CUSTO TOTAL'!$K44,PARAMETROS!$E:BA,6,0)</f>
        <v>411.06073272727275</v>
      </c>
      <c r="U44" s="505">
        <f>VLOOKUP('BANCO DADOS-CUSTO TOTAL'!$K44,PARAMETROS!$E:BB,7,0)</f>
        <v>0</v>
      </c>
      <c r="V44" s="505">
        <f>VLOOKUP('BANCO DADOS-CUSTO TOTAL'!$K44,PARAMETROS!$E:BC,8,0)</f>
        <v>0</v>
      </c>
      <c r="W44" s="505">
        <f>VLOOKUP('BANCO DADOS-CUSTO TOTAL'!$K44,PARAMETROS!$E:BD,9,0)</f>
        <v>175.76850162396693</v>
      </c>
      <c r="X44" s="505">
        <f>VLOOKUP('BANCO DADOS-CUSTO TOTAL'!$K44,PARAMETROS!$E:BE,10,0)</f>
        <v>47.357227272727279</v>
      </c>
      <c r="Y44" s="506">
        <f t="shared" si="9"/>
        <v>2717.9</v>
      </c>
      <c r="Z44" s="517"/>
      <c r="AA44" s="508">
        <v>1</v>
      </c>
      <c r="AB44" s="509">
        <f t="shared" si="34"/>
        <v>30</v>
      </c>
      <c r="AC44" s="510">
        <f t="shared" si="35"/>
        <v>90.596666666666664</v>
      </c>
      <c r="AD44" s="511">
        <f t="shared" si="36"/>
        <v>2717.9</v>
      </c>
      <c r="AE44" s="511">
        <f t="shared" si="37"/>
        <v>90.596666666666664</v>
      </c>
      <c r="AF44" s="506">
        <f>IF(J44="EFETIVO",VLOOKUP(K44,PARAMETROS!$E:AX,11,0),0)</f>
        <v>112.9</v>
      </c>
      <c r="AG44" s="506">
        <f>VLOOKUP(H44,'VA E VT - APOIO.LIMPEZA'!F:AX,14,0)</f>
        <v>223.06049999999999</v>
      </c>
      <c r="AH44" s="506">
        <f>VLOOKUP($H44,'VA E VT - APOIO.LIMPEZA'!$F:AY,20,0)</f>
        <v>193.64427999999998</v>
      </c>
      <c r="AI44" s="506">
        <f>IF($J44="EFETIVO",VLOOKUP($K44,PARAMETROS!$E:BA,14,0),0)</f>
        <v>91.08</v>
      </c>
      <c r="AJ44" s="506">
        <f>IF($J44="EFETIVO",VLOOKUP($K44,PARAMETROS!$E:BB,15,0),0)</f>
        <v>17.03</v>
      </c>
      <c r="AK44" s="506"/>
      <c r="AL44" s="506"/>
      <c r="AM44" s="506"/>
      <c r="AN44" s="506"/>
      <c r="AO44" s="512">
        <f t="shared" si="10"/>
        <v>637.71478000000002</v>
      </c>
      <c r="AP44" s="506">
        <f>IF($J44="EFETIVO",VLOOKUP($K44,PARAMETROS!$E:BH,20,0),0)</f>
        <v>62.37</v>
      </c>
      <c r="AQ44" s="510"/>
      <c r="AR44" s="506">
        <f>IF($J44="EFETIVO",VLOOKUP($K44,PARAMETROS!$E:BJ,22,0),0)</f>
        <v>58.53</v>
      </c>
      <c r="AS44" s="510"/>
      <c r="AT44" s="512">
        <f t="shared" si="11"/>
        <v>120.9</v>
      </c>
      <c r="AU44" s="512">
        <f t="shared" si="12"/>
        <v>33.339573333333334</v>
      </c>
      <c r="AV44" s="512">
        <f t="shared" si="13"/>
        <v>4.89222</v>
      </c>
      <c r="AW44" s="512">
        <f t="shared" si="13"/>
        <v>13.589500000000001</v>
      </c>
      <c r="AX44" s="512">
        <f t="shared" si="13"/>
        <v>1.0871600000000001</v>
      </c>
      <c r="AY44" s="512">
        <f t="shared" si="13"/>
        <v>0.54358000000000006</v>
      </c>
      <c r="AZ44" s="512">
        <f t="shared" si="13"/>
        <v>9.5126500000000007</v>
      </c>
      <c r="BA44" s="512">
        <f t="shared" si="13"/>
        <v>3.5006552000000002</v>
      </c>
      <c r="BB44" s="512">
        <f t="shared" si="13"/>
        <v>4.6204299999999998</v>
      </c>
      <c r="BC44" s="512">
        <f t="shared" si="14"/>
        <v>32.85</v>
      </c>
      <c r="BD44" s="512">
        <f t="shared" si="15"/>
        <v>37.77881</v>
      </c>
      <c r="BE44" s="512">
        <f t="shared" si="15"/>
        <v>22.830359999999999</v>
      </c>
      <c r="BF44" s="512">
        <f t="shared" si="15"/>
        <v>8.9690700000000003</v>
      </c>
      <c r="BG44" s="512">
        <f t="shared" si="15"/>
        <v>0</v>
      </c>
      <c r="BH44" s="512">
        <f t="shared" si="15"/>
        <v>25.604792320000001</v>
      </c>
      <c r="BI44" s="512">
        <f t="shared" si="16"/>
        <v>95.18</v>
      </c>
      <c r="BJ44" s="512">
        <f t="shared" si="17"/>
        <v>166.26</v>
      </c>
      <c r="BK44" s="512">
        <v>0</v>
      </c>
      <c r="BL44" s="512">
        <f t="shared" si="19"/>
        <v>301.95869000000005</v>
      </c>
      <c r="BM44" s="512">
        <f t="shared" si="20"/>
        <v>0</v>
      </c>
      <c r="BN44" s="512">
        <f t="shared" si="21"/>
        <v>111.12079792000002</v>
      </c>
      <c r="BO44" s="512">
        <v>109.65438675427687</v>
      </c>
      <c r="BP44" s="512"/>
      <c r="BQ44" s="512">
        <f t="shared" si="23"/>
        <v>522.73</v>
      </c>
      <c r="BR44" s="512">
        <f t="shared" si="24"/>
        <v>688.99</v>
      </c>
      <c r="BS44" s="512">
        <f t="shared" si="25"/>
        <v>288.66000000000003</v>
      </c>
      <c r="BT44" s="512">
        <f t="shared" si="26"/>
        <v>346.26</v>
      </c>
      <c r="BU44" s="512">
        <f t="shared" si="27"/>
        <v>156.12703085466669</v>
      </c>
      <c r="BV44" s="512">
        <f t="shared" si="28"/>
        <v>49.450258000000005</v>
      </c>
      <c r="BW44" s="512">
        <f t="shared" si="29"/>
        <v>205.57728885466668</v>
      </c>
      <c r="BX44" s="512">
        <f t="shared" si="30"/>
        <v>840.49728885466675</v>
      </c>
      <c r="BY44" s="512">
        <f t="shared" si="31"/>
        <v>1855.9687355213334</v>
      </c>
      <c r="BZ44" s="512">
        <f t="shared" si="32"/>
        <v>522.73</v>
      </c>
      <c r="CA44" s="512">
        <f t="shared" si="33"/>
        <v>2378.6987355213332</v>
      </c>
      <c r="CB44" s="513" t="s">
        <v>3921</v>
      </c>
    </row>
    <row r="45" spans="1:80" s="514" customFormat="1" ht="15.75" customHeight="1">
      <c r="A45" s="499">
        <v>1</v>
      </c>
      <c r="B45" s="499">
        <v>0</v>
      </c>
      <c r="C45" s="499" t="s">
        <v>3287</v>
      </c>
      <c r="D45" s="577">
        <f>VLOOKUP(C45,ISS!A:B,2,0)</f>
        <v>0.05</v>
      </c>
      <c r="E45" s="582">
        <f t="shared" si="8"/>
        <v>9.4600000000000004E-2</v>
      </c>
      <c r="F45" s="500">
        <v>226</v>
      </c>
      <c r="G45" s="501">
        <v>124226</v>
      </c>
      <c r="H45" s="502" t="s">
        <v>3963</v>
      </c>
      <c r="I45" s="499" t="s">
        <v>3850</v>
      </c>
      <c r="J45" s="503" t="s">
        <v>3527</v>
      </c>
      <c r="K45" s="499" t="str">
        <f>CONCATENATE(C45,I45)</f>
        <v>Belo HorizonteVIGILANTE ARMADO - 12X36 NOTURNO</v>
      </c>
      <c r="L45" s="504" t="s">
        <v>3918</v>
      </c>
      <c r="M45" s="515"/>
      <c r="N45" s="503"/>
      <c r="O45" s="516"/>
      <c r="P45" s="516"/>
      <c r="Q45" s="505">
        <f>VLOOKUP('BANCO DADOS-CUSTO TOTAL'!$K45,PARAMETROS!$E:AX,3,0)</f>
        <v>1602.86</v>
      </c>
      <c r="R45" s="505">
        <f>VLOOKUP('BANCO DADOS-CUSTO TOTAL'!$K45,PARAMETROS!$E:AY,4,0)</f>
        <v>0</v>
      </c>
      <c r="S45" s="505">
        <f>VLOOKUP('BANCO DADOS-CUSTO TOTAL'!$K45,PARAMETROS!$E:AZ,5,0)</f>
        <v>480.85799999999995</v>
      </c>
      <c r="T45" s="505">
        <f>VLOOKUP('BANCO DADOS-CUSTO TOTAL'!$K45,PARAMETROS!$E:BA,6,0)</f>
        <v>411.06073272727275</v>
      </c>
      <c r="U45" s="505">
        <f>VLOOKUP('BANCO DADOS-CUSTO TOTAL'!$K45,PARAMETROS!$E:BB,7,0)</f>
        <v>0</v>
      </c>
      <c r="V45" s="505">
        <f>VLOOKUP('BANCO DADOS-CUSTO TOTAL'!$K45,PARAMETROS!$E:BC,8,0)</f>
        <v>0</v>
      </c>
      <c r="W45" s="505">
        <f>VLOOKUP('BANCO DADOS-CUSTO TOTAL'!$K45,PARAMETROS!$E:BD,9,0)</f>
        <v>175.76850162396693</v>
      </c>
      <c r="X45" s="505">
        <f>VLOOKUP('BANCO DADOS-CUSTO TOTAL'!$K45,PARAMETROS!$E:BE,10,0)</f>
        <v>47.357227272727279</v>
      </c>
      <c r="Y45" s="506">
        <f t="shared" si="9"/>
        <v>2717.9</v>
      </c>
      <c r="Z45" s="517"/>
      <c r="AA45" s="508">
        <v>29</v>
      </c>
      <c r="AB45" s="509">
        <f>IF(J45="EFETIVO",IF(AND(L45="",M45=""),$M$5,IF(AND(L45&lt;&gt;"",M45&lt;&gt;"",MONTH(L45)=MONTH(M45),YEAR(L45)=YEAR(M45)),M45-L45+1,IF(AND(L45&lt;&gt;"",M45&lt;&gt;"",MONTH(L45)&lt;&gt;MONTH(M45)),DAY(M45),IF(AND(L45="",M45&lt;&gt;"",MONTH($H$5)=MONTH(M45),YEAR(M45)=YEAR($H$5)),M45-$K$5+1,IF(AND(L45&lt;&gt;"",M45="",MONTH($K$5)=MONTH(L45),YEAR($K$5)=YEAR(L45)),30-DAY(L45)+1,$M$5))))),0)</f>
        <v>0</v>
      </c>
      <c r="AC45" s="510">
        <f t="shared" si="35"/>
        <v>2627.3033333333333</v>
      </c>
      <c r="AD45" s="511">
        <f t="shared" si="36"/>
        <v>2717.9</v>
      </c>
      <c r="AE45" s="511">
        <f t="shared" si="37"/>
        <v>0</v>
      </c>
      <c r="AF45" s="506">
        <f>IF(J45="EFETIVO",VLOOKUP(K45,PARAMETROS!$E:AX,11,0),0)</f>
        <v>0</v>
      </c>
      <c r="AG45" s="506">
        <f>VLOOKUP(H45,'VA E VT - APOIO.LIMPEZA'!F:AX,14,0)</f>
        <v>0</v>
      </c>
      <c r="AH45" s="506">
        <f>VLOOKUP($H45,'VA E VT - APOIO.LIMPEZA'!$F:AY,20,0)</f>
        <v>0</v>
      </c>
      <c r="AI45" s="506">
        <f>IF($J45="EFETIVO",VLOOKUP($K45,PARAMETROS!$E:BA,14,0),0)</f>
        <v>0</v>
      </c>
      <c r="AJ45" s="506">
        <f>IF($J45="EFETIVO",VLOOKUP($K45,PARAMETROS!$E:BB,15,0),0)</f>
        <v>0</v>
      </c>
      <c r="AK45" s="506"/>
      <c r="AL45" s="506"/>
      <c r="AM45" s="506"/>
      <c r="AN45" s="506"/>
      <c r="AO45" s="512">
        <f t="shared" si="10"/>
        <v>0</v>
      </c>
      <c r="AP45" s="506">
        <f>IF($J45="EFETIVO",VLOOKUP($K45,PARAMETROS!$E:BH,20,0),0)</f>
        <v>0</v>
      </c>
      <c r="AQ45" s="510"/>
      <c r="AR45" s="506">
        <f>IF($J45="EFETIVO",VLOOKUP($K45,PARAMETROS!$E:BJ,22,0),0)</f>
        <v>0</v>
      </c>
      <c r="AS45" s="510"/>
      <c r="AT45" s="512">
        <f t="shared" si="11"/>
        <v>0</v>
      </c>
      <c r="AU45" s="512">
        <f t="shared" si="12"/>
        <v>966.84762666666666</v>
      </c>
      <c r="AV45" s="512">
        <f t="shared" si="13"/>
        <v>0</v>
      </c>
      <c r="AW45" s="512">
        <f t="shared" si="13"/>
        <v>0</v>
      </c>
      <c r="AX45" s="512">
        <f t="shared" si="13"/>
        <v>0</v>
      </c>
      <c r="AY45" s="512">
        <f t="shared" si="13"/>
        <v>0</v>
      </c>
      <c r="AZ45" s="512">
        <f t="shared" si="13"/>
        <v>0</v>
      </c>
      <c r="BA45" s="512">
        <f t="shared" si="13"/>
        <v>0</v>
      </c>
      <c r="BB45" s="512">
        <f t="shared" si="13"/>
        <v>0</v>
      </c>
      <c r="BC45" s="512">
        <f t="shared" si="14"/>
        <v>0</v>
      </c>
      <c r="BD45" s="512">
        <f t="shared" si="15"/>
        <v>0</v>
      </c>
      <c r="BE45" s="512">
        <f t="shared" si="15"/>
        <v>0</v>
      </c>
      <c r="BF45" s="512">
        <f t="shared" si="15"/>
        <v>0</v>
      </c>
      <c r="BG45" s="512">
        <f t="shared" si="15"/>
        <v>0</v>
      </c>
      <c r="BH45" s="512">
        <f t="shared" si="15"/>
        <v>0</v>
      </c>
      <c r="BI45" s="512">
        <f t="shared" si="16"/>
        <v>0</v>
      </c>
      <c r="BJ45" s="512">
        <f t="shared" si="17"/>
        <v>966.84</v>
      </c>
      <c r="BK45" s="512">
        <f t="shared" si="18"/>
        <v>0</v>
      </c>
      <c r="BL45" s="512">
        <f t="shared" si="19"/>
        <v>0</v>
      </c>
      <c r="BM45" s="512">
        <f t="shared" si="20"/>
        <v>0</v>
      </c>
      <c r="BN45" s="512">
        <f t="shared" si="21"/>
        <v>0</v>
      </c>
      <c r="BO45" s="512">
        <f t="shared" si="22"/>
        <v>0</v>
      </c>
      <c r="BP45" s="512"/>
      <c r="BQ45" s="512">
        <f t="shared" si="23"/>
        <v>0</v>
      </c>
      <c r="BR45" s="512">
        <f t="shared" si="24"/>
        <v>966.84</v>
      </c>
      <c r="BS45" s="512">
        <f t="shared" si="25"/>
        <v>0</v>
      </c>
      <c r="BT45" s="512">
        <f t="shared" si="26"/>
        <v>0</v>
      </c>
      <c r="BU45" s="512">
        <f t="shared" si="27"/>
        <v>340.00595933333335</v>
      </c>
      <c r="BV45" s="512">
        <f t="shared" si="28"/>
        <v>0</v>
      </c>
      <c r="BW45" s="512">
        <f t="shared" si="29"/>
        <v>340.00595933333335</v>
      </c>
      <c r="BX45" s="512">
        <f t="shared" si="30"/>
        <v>340.00595933333335</v>
      </c>
      <c r="BY45" s="512">
        <f t="shared" si="31"/>
        <v>3934.149292666667</v>
      </c>
      <c r="BZ45" s="512">
        <f t="shared" si="32"/>
        <v>0</v>
      </c>
      <c r="CA45" s="512">
        <f t="shared" si="33"/>
        <v>3934.149292666667</v>
      </c>
      <c r="CB45" s="513" t="s">
        <v>3922</v>
      </c>
    </row>
    <row r="46" spans="1:80" s="450" customFormat="1" ht="15.75" customHeight="1">
      <c r="A46" s="435">
        <v>1</v>
      </c>
      <c r="B46" s="435">
        <v>1</v>
      </c>
      <c r="C46" s="435" t="s">
        <v>3287</v>
      </c>
      <c r="D46" s="436">
        <f>VLOOKUP(C46,ISS!A:B,2,0)</f>
        <v>0.05</v>
      </c>
      <c r="E46" s="437">
        <f t="shared" si="8"/>
        <v>9.4600000000000004E-2</v>
      </c>
      <c r="F46" s="438">
        <v>30</v>
      </c>
      <c r="G46" s="439">
        <v>12370</v>
      </c>
      <c r="H46" s="440" t="s">
        <v>3964</v>
      </c>
      <c r="I46" s="435" t="s">
        <v>3850</v>
      </c>
      <c r="J46" s="102" t="s">
        <v>3521</v>
      </c>
      <c r="K46" s="435" t="str">
        <f t="shared" si="38"/>
        <v>Belo HorizonteVIGILANTE ARMADO - 12X36 NOTURNO</v>
      </c>
      <c r="L46" s="441" t="s">
        <v>3882</v>
      </c>
      <c r="M46" s="451"/>
      <c r="N46" s="102"/>
      <c r="O46" s="101"/>
      <c r="P46" s="101"/>
      <c r="Q46" s="442">
        <f>VLOOKUP('BANCO DADOS-CUSTO TOTAL'!$K46,PARAMETROS!$E:AX,3,0)</f>
        <v>1602.86</v>
      </c>
      <c r="R46" s="442">
        <f>VLOOKUP('BANCO DADOS-CUSTO TOTAL'!$K46,PARAMETROS!$E:AY,4,0)</f>
        <v>0</v>
      </c>
      <c r="S46" s="442">
        <f>VLOOKUP('BANCO DADOS-CUSTO TOTAL'!$K46,PARAMETROS!$E:AZ,5,0)</f>
        <v>480.85799999999995</v>
      </c>
      <c r="T46" s="442">
        <f>VLOOKUP('BANCO DADOS-CUSTO TOTAL'!$K46,PARAMETROS!$E:BA,6,0)</f>
        <v>411.06073272727275</v>
      </c>
      <c r="U46" s="442">
        <f>VLOOKUP('BANCO DADOS-CUSTO TOTAL'!$K46,PARAMETROS!$E:BB,7,0)</f>
        <v>0</v>
      </c>
      <c r="V46" s="442">
        <f>VLOOKUP('BANCO DADOS-CUSTO TOTAL'!$K46,PARAMETROS!$E:BC,8,0)</f>
        <v>0</v>
      </c>
      <c r="W46" s="442">
        <f>VLOOKUP('BANCO DADOS-CUSTO TOTAL'!$K46,PARAMETROS!$E:BD,9,0)</f>
        <v>175.76850162396693</v>
      </c>
      <c r="X46" s="442">
        <f>VLOOKUP('BANCO DADOS-CUSTO TOTAL'!$K46,PARAMETROS!$E:BE,10,0)</f>
        <v>47.357227272727279</v>
      </c>
      <c r="Y46" s="443">
        <f t="shared" si="9"/>
        <v>2717.9</v>
      </c>
      <c r="Z46" s="458"/>
      <c r="AA46" s="444">
        <v>30</v>
      </c>
      <c r="AB46" s="445">
        <f t="shared" si="34"/>
        <v>30</v>
      </c>
      <c r="AC46" s="446">
        <f t="shared" si="35"/>
        <v>2717.9</v>
      </c>
      <c r="AD46" s="447">
        <f t="shared" si="36"/>
        <v>2717.9</v>
      </c>
      <c r="AE46" s="447">
        <f t="shared" si="37"/>
        <v>2717.9</v>
      </c>
      <c r="AF46" s="443">
        <f>IF(J46="EFETIVO",VLOOKUP(K46,PARAMETROS!$E:AX,11,0),0)</f>
        <v>112.9</v>
      </c>
      <c r="AG46" s="443">
        <f>VLOOKUP(H46,'VA E VT - APOIO.LIMPEZA'!F:AX,14,0)</f>
        <v>223.06049999999999</v>
      </c>
      <c r="AH46" s="443">
        <f>VLOOKUP($H46,'VA E VT - APOIO.LIMPEZA'!$F:AY,20,0)</f>
        <v>100.6784</v>
      </c>
      <c r="AI46" s="443">
        <f>IF($J46="EFETIVO",VLOOKUP($K46,PARAMETROS!$E:BA,14,0),0)</f>
        <v>91.08</v>
      </c>
      <c r="AJ46" s="443">
        <f>IF($J46="EFETIVO",VLOOKUP($K46,PARAMETROS!$E:BB,15,0),0)</f>
        <v>17.03</v>
      </c>
      <c r="AK46" s="443"/>
      <c r="AL46" s="443"/>
      <c r="AM46" s="443"/>
      <c r="AN46" s="443"/>
      <c r="AO46" s="448">
        <f t="shared" si="10"/>
        <v>544.74890000000005</v>
      </c>
      <c r="AP46" s="443">
        <f>IF($J46="EFETIVO",VLOOKUP($K46,PARAMETROS!$E:BH,20,0),0)</f>
        <v>62.37</v>
      </c>
      <c r="AQ46" s="446"/>
      <c r="AR46" s="443">
        <f>IF($J46="EFETIVO",VLOOKUP($K46,PARAMETROS!$E:BJ,22,0),0)</f>
        <v>58.53</v>
      </c>
      <c r="AS46" s="446"/>
      <c r="AT46" s="448">
        <f t="shared" si="11"/>
        <v>120.9</v>
      </c>
      <c r="AU46" s="448">
        <f t="shared" si="12"/>
        <v>1000.1872</v>
      </c>
      <c r="AV46" s="448">
        <f t="shared" si="13"/>
        <v>4.89222</v>
      </c>
      <c r="AW46" s="448">
        <f t="shared" si="13"/>
        <v>13.589500000000001</v>
      </c>
      <c r="AX46" s="448">
        <f t="shared" si="13"/>
        <v>1.0871600000000001</v>
      </c>
      <c r="AY46" s="448">
        <f t="shared" si="13"/>
        <v>0.54358000000000006</v>
      </c>
      <c r="AZ46" s="448">
        <f t="shared" si="13"/>
        <v>9.5126500000000007</v>
      </c>
      <c r="BA46" s="448">
        <f t="shared" si="13"/>
        <v>3.5006552000000002</v>
      </c>
      <c r="BB46" s="448">
        <f t="shared" si="13"/>
        <v>4.6204299999999998</v>
      </c>
      <c r="BC46" s="448">
        <f t="shared" si="14"/>
        <v>32.85</v>
      </c>
      <c r="BD46" s="448">
        <f t="shared" si="15"/>
        <v>37.77881</v>
      </c>
      <c r="BE46" s="448">
        <f t="shared" si="15"/>
        <v>22.830359999999999</v>
      </c>
      <c r="BF46" s="448">
        <f t="shared" si="15"/>
        <v>8.9690700000000003</v>
      </c>
      <c r="BG46" s="448">
        <f t="shared" si="15"/>
        <v>0</v>
      </c>
      <c r="BH46" s="448">
        <f t="shared" si="15"/>
        <v>25.604792320000001</v>
      </c>
      <c r="BI46" s="448">
        <f t="shared" si="16"/>
        <v>95.18</v>
      </c>
      <c r="BJ46" s="448">
        <f t="shared" si="17"/>
        <v>1133.0999999999999</v>
      </c>
      <c r="BK46" s="448">
        <f t="shared" si="18"/>
        <v>226.40107</v>
      </c>
      <c r="BL46" s="448">
        <f t="shared" si="19"/>
        <v>301.95869000000005</v>
      </c>
      <c r="BM46" s="448">
        <f t="shared" si="20"/>
        <v>83.315593759999999</v>
      </c>
      <c r="BN46" s="448">
        <f t="shared" si="21"/>
        <v>111.12079792000002</v>
      </c>
      <c r="BO46" s="448">
        <f t="shared" si="22"/>
        <v>116.86969999999999</v>
      </c>
      <c r="BP46" s="448"/>
      <c r="BQ46" s="448">
        <f t="shared" si="23"/>
        <v>839.66</v>
      </c>
      <c r="BR46" s="448">
        <f t="shared" si="24"/>
        <v>1972.76</v>
      </c>
      <c r="BS46" s="448">
        <f t="shared" si="25"/>
        <v>288.66000000000003</v>
      </c>
      <c r="BT46" s="448">
        <f t="shared" si="26"/>
        <v>346.26</v>
      </c>
      <c r="BU46" s="448">
        <f t="shared" si="27"/>
        <v>487.33841794000006</v>
      </c>
      <c r="BV46" s="448">
        <f t="shared" si="28"/>
        <v>79.431836000000004</v>
      </c>
      <c r="BW46" s="448">
        <f t="shared" si="29"/>
        <v>566.77025394000009</v>
      </c>
      <c r="BX46" s="448">
        <f t="shared" si="30"/>
        <v>1201.6902539400003</v>
      </c>
      <c r="BY46" s="448">
        <f t="shared" si="31"/>
        <v>5718.33915394</v>
      </c>
      <c r="BZ46" s="448">
        <f t="shared" si="32"/>
        <v>839.66</v>
      </c>
      <c r="CA46" s="448">
        <f t="shared" si="33"/>
        <v>6557.9991539399998</v>
      </c>
      <c r="CB46" s="449"/>
    </row>
    <row r="47" spans="1:80" s="450" customFormat="1" ht="15.75" customHeight="1">
      <c r="A47" s="435">
        <v>1</v>
      </c>
      <c r="B47" s="435">
        <v>1</v>
      </c>
      <c r="C47" s="435" t="s">
        <v>3287</v>
      </c>
      <c r="D47" s="436">
        <f>VLOOKUP(C47,ISS!A:B,2,0)</f>
        <v>0.05</v>
      </c>
      <c r="E47" s="437">
        <f t="shared" si="8"/>
        <v>9.4600000000000004E-2</v>
      </c>
      <c r="F47" s="438">
        <v>31</v>
      </c>
      <c r="G47" s="439">
        <v>12371</v>
      </c>
      <c r="H47" s="440" t="s">
        <v>3965</v>
      </c>
      <c r="I47" s="435" t="s">
        <v>3850</v>
      </c>
      <c r="J47" s="102" t="s">
        <v>3521</v>
      </c>
      <c r="K47" s="435" t="str">
        <f t="shared" si="38"/>
        <v>Belo HorizonteVIGILANTE ARMADO - 12X36 NOTURNO</v>
      </c>
      <c r="L47" s="441" t="s">
        <v>3882</v>
      </c>
      <c r="M47" s="451"/>
      <c r="N47" s="102"/>
      <c r="O47" s="101"/>
      <c r="P47" s="101"/>
      <c r="Q47" s="442">
        <f>VLOOKUP('BANCO DADOS-CUSTO TOTAL'!$K47,PARAMETROS!$E:AX,3,0)</f>
        <v>1602.86</v>
      </c>
      <c r="R47" s="442">
        <f>VLOOKUP('BANCO DADOS-CUSTO TOTAL'!$K47,PARAMETROS!$E:AY,4,0)</f>
        <v>0</v>
      </c>
      <c r="S47" s="442">
        <f>VLOOKUP('BANCO DADOS-CUSTO TOTAL'!$K47,PARAMETROS!$E:AZ,5,0)</f>
        <v>480.85799999999995</v>
      </c>
      <c r="T47" s="442">
        <f>VLOOKUP('BANCO DADOS-CUSTO TOTAL'!$K47,PARAMETROS!$E:BA,6,0)</f>
        <v>411.06073272727275</v>
      </c>
      <c r="U47" s="442">
        <f>VLOOKUP('BANCO DADOS-CUSTO TOTAL'!$K47,PARAMETROS!$E:BB,7,0)</f>
        <v>0</v>
      </c>
      <c r="V47" s="442">
        <f>VLOOKUP('BANCO DADOS-CUSTO TOTAL'!$K47,PARAMETROS!$E:BC,8,0)</f>
        <v>0</v>
      </c>
      <c r="W47" s="442">
        <f>VLOOKUP('BANCO DADOS-CUSTO TOTAL'!$K47,PARAMETROS!$E:BD,9,0)</f>
        <v>175.76850162396693</v>
      </c>
      <c r="X47" s="442">
        <f>VLOOKUP('BANCO DADOS-CUSTO TOTAL'!$K47,PARAMETROS!$E:BE,10,0)</f>
        <v>47.357227272727279</v>
      </c>
      <c r="Y47" s="443">
        <f t="shared" si="9"/>
        <v>2717.9</v>
      </c>
      <c r="Z47" s="458"/>
      <c r="AA47" s="444">
        <v>30</v>
      </c>
      <c r="AB47" s="445">
        <f t="shared" si="34"/>
        <v>30</v>
      </c>
      <c r="AC47" s="446">
        <f t="shared" si="35"/>
        <v>2717.9</v>
      </c>
      <c r="AD47" s="447">
        <f t="shared" si="36"/>
        <v>2717.9</v>
      </c>
      <c r="AE47" s="447">
        <f t="shared" si="37"/>
        <v>2717.9</v>
      </c>
      <c r="AF47" s="443">
        <f>IF(J47="EFETIVO",VLOOKUP(K47,PARAMETROS!$E:AX,11,0),0)</f>
        <v>112.9</v>
      </c>
      <c r="AG47" s="443">
        <f>VLOOKUP(H47,'VA E VT - APOIO.LIMPEZA'!F:AX,14,0)</f>
        <v>223.06049999999999</v>
      </c>
      <c r="AH47" s="443">
        <f>VLOOKUP($H47,'VA E VT - APOIO.LIMPEZA'!$F:AY,20,0)</f>
        <v>100.6784</v>
      </c>
      <c r="AI47" s="443">
        <f>IF($J47="EFETIVO",VLOOKUP($K47,PARAMETROS!$E:BA,14,0),0)</f>
        <v>91.08</v>
      </c>
      <c r="AJ47" s="443">
        <f>IF($J47="EFETIVO",VLOOKUP($K47,PARAMETROS!$E:BB,15,0),0)</f>
        <v>17.03</v>
      </c>
      <c r="AK47" s="443"/>
      <c r="AL47" s="443"/>
      <c r="AM47" s="443"/>
      <c r="AN47" s="443"/>
      <c r="AO47" s="448">
        <f t="shared" si="10"/>
        <v>544.74890000000005</v>
      </c>
      <c r="AP47" s="443">
        <f>IF($J47="EFETIVO",VLOOKUP($K47,PARAMETROS!$E:BH,20,0),0)</f>
        <v>62.37</v>
      </c>
      <c r="AQ47" s="446"/>
      <c r="AR47" s="443">
        <f>IF($J47="EFETIVO",VLOOKUP($K47,PARAMETROS!$E:BJ,22,0),0)</f>
        <v>58.53</v>
      </c>
      <c r="AS47" s="446"/>
      <c r="AT47" s="448">
        <f t="shared" si="11"/>
        <v>120.9</v>
      </c>
      <c r="AU47" s="448">
        <f t="shared" si="12"/>
        <v>1000.1872</v>
      </c>
      <c r="AV47" s="448">
        <f t="shared" si="13"/>
        <v>4.89222</v>
      </c>
      <c r="AW47" s="448">
        <f t="shared" si="13"/>
        <v>13.589500000000001</v>
      </c>
      <c r="AX47" s="448">
        <f t="shared" si="13"/>
        <v>1.0871600000000001</v>
      </c>
      <c r="AY47" s="448">
        <f t="shared" si="13"/>
        <v>0.54358000000000006</v>
      </c>
      <c r="AZ47" s="448">
        <f t="shared" si="13"/>
        <v>9.5126500000000007</v>
      </c>
      <c r="BA47" s="448">
        <f t="shared" si="13"/>
        <v>3.5006552000000002</v>
      </c>
      <c r="BB47" s="448">
        <f t="shared" si="13"/>
        <v>4.6204299999999998</v>
      </c>
      <c r="BC47" s="448">
        <f t="shared" si="14"/>
        <v>32.85</v>
      </c>
      <c r="BD47" s="448">
        <f t="shared" si="15"/>
        <v>37.77881</v>
      </c>
      <c r="BE47" s="448">
        <f t="shared" si="15"/>
        <v>22.830359999999999</v>
      </c>
      <c r="BF47" s="448">
        <f t="shared" si="15"/>
        <v>8.9690700000000003</v>
      </c>
      <c r="BG47" s="448">
        <f t="shared" si="15"/>
        <v>0</v>
      </c>
      <c r="BH47" s="448">
        <f t="shared" si="15"/>
        <v>25.604792320000001</v>
      </c>
      <c r="BI47" s="448">
        <f t="shared" si="16"/>
        <v>95.18</v>
      </c>
      <c r="BJ47" s="448">
        <f t="shared" si="17"/>
        <v>1133.0999999999999</v>
      </c>
      <c r="BK47" s="448">
        <f t="shared" si="18"/>
        <v>226.40107</v>
      </c>
      <c r="BL47" s="448">
        <f t="shared" si="19"/>
        <v>301.95869000000005</v>
      </c>
      <c r="BM47" s="448">
        <f t="shared" si="20"/>
        <v>83.315593759999999</v>
      </c>
      <c r="BN47" s="448">
        <f t="shared" si="21"/>
        <v>111.12079792000002</v>
      </c>
      <c r="BO47" s="448">
        <f t="shared" si="22"/>
        <v>116.86969999999999</v>
      </c>
      <c r="BP47" s="448"/>
      <c r="BQ47" s="448">
        <f t="shared" si="23"/>
        <v>839.66</v>
      </c>
      <c r="BR47" s="448">
        <f t="shared" si="24"/>
        <v>1972.76</v>
      </c>
      <c r="BS47" s="448">
        <f t="shared" si="25"/>
        <v>288.66000000000003</v>
      </c>
      <c r="BT47" s="448">
        <f t="shared" si="26"/>
        <v>346.26</v>
      </c>
      <c r="BU47" s="448">
        <f t="shared" si="27"/>
        <v>487.33841794000006</v>
      </c>
      <c r="BV47" s="448">
        <f t="shared" si="28"/>
        <v>79.431836000000004</v>
      </c>
      <c r="BW47" s="448">
        <f t="shared" si="29"/>
        <v>566.77025394000009</v>
      </c>
      <c r="BX47" s="448">
        <f t="shared" si="30"/>
        <v>1201.6902539400003</v>
      </c>
      <c r="BY47" s="448">
        <f t="shared" si="31"/>
        <v>5718.33915394</v>
      </c>
      <c r="BZ47" s="448">
        <f t="shared" si="32"/>
        <v>839.66</v>
      </c>
      <c r="CA47" s="448">
        <f t="shared" si="33"/>
        <v>6557.9991539399998</v>
      </c>
      <c r="CB47" s="449"/>
    </row>
    <row r="48" spans="1:80" s="450" customFormat="1" ht="15.75" customHeight="1">
      <c r="A48" s="435">
        <v>1</v>
      </c>
      <c r="B48" s="435">
        <v>1</v>
      </c>
      <c r="C48" s="435" t="s">
        <v>3287</v>
      </c>
      <c r="D48" s="436">
        <f>VLOOKUP(C48,ISS!A:B,2,0)</f>
        <v>0.05</v>
      </c>
      <c r="E48" s="437">
        <f t="shared" si="8"/>
        <v>9.4600000000000004E-2</v>
      </c>
      <c r="F48" s="438">
        <v>32</v>
      </c>
      <c r="G48" s="439">
        <v>12372</v>
      </c>
      <c r="H48" s="440" t="s">
        <v>3966</v>
      </c>
      <c r="I48" s="435" t="s">
        <v>3850</v>
      </c>
      <c r="J48" s="102" t="s">
        <v>3521</v>
      </c>
      <c r="K48" s="435" t="str">
        <f t="shared" si="38"/>
        <v>Belo HorizonteVIGILANTE ARMADO - 12X36 NOTURNO</v>
      </c>
      <c r="L48" s="441" t="s">
        <v>3882</v>
      </c>
      <c r="M48" s="451"/>
      <c r="N48" s="102" t="s">
        <v>3569</v>
      </c>
      <c r="O48" s="101" t="s">
        <v>3926</v>
      </c>
      <c r="P48" s="101" t="s">
        <v>4046</v>
      </c>
      <c r="Q48" s="442">
        <f>VLOOKUP('BANCO DADOS-CUSTO TOTAL'!$K48,PARAMETROS!$E:AX,3,0)</f>
        <v>1602.86</v>
      </c>
      <c r="R48" s="442">
        <f>VLOOKUP('BANCO DADOS-CUSTO TOTAL'!$K48,PARAMETROS!$E:AY,4,0)</f>
        <v>0</v>
      </c>
      <c r="S48" s="442">
        <f>VLOOKUP('BANCO DADOS-CUSTO TOTAL'!$K48,PARAMETROS!$E:AZ,5,0)</f>
        <v>480.85799999999995</v>
      </c>
      <c r="T48" s="442">
        <f>VLOOKUP('BANCO DADOS-CUSTO TOTAL'!$K48,PARAMETROS!$E:BA,6,0)</f>
        <v>411.06073272727275</v>
      </c>
      <c r="U48" s="442">
        <f>VLOOKUP('BANCO DADOS-CUSTO TOTAL'!$K48,PARAMETROS!$E:BB,7,0)</f>
        <v>0</v>
      </c>
      <c r="V48" s="442">
        <f>VLOOKUP('BANCO DADOS-CUSTO TOTAL'!$K48,PARAMETROS!$E:BC,8,0)</f>
        <v>0</v>
      </c>
      <c r="W48" s="442">
        <f>VLOOKUP('BANCO DADOS-CUSTO TOTAL'!$K48,PARAMETROS!$E:BD,9,0)</f>
        <v>175.76850162396693</v>
      </c>
      <c r="X48" s="442">
        <f>VLOOKUP('BANCO DADOS-CUSTO TOTAL'!$K48,PARAMETROS!$E:BE,10,0)</f>
        <v>47.357227272727279</v>
      </c>
      <c r="Y48" s="443">
        <f t="shared" si="9"/>
        <v>2717.9</v>
      </c>
      <c r="Z48" s="458"/>
      <c r="AA48" s="444">
        <v>20</v>
      </c>
      <c r="AB48" s="445">
        <f t="shared" si="34"/>
        <v>30</v>
      </c>
      <c r="AC48" s="446">
        <f t="shared" si="35"/>
        <v>1811.9333333333334</v>
      </c>
      <c r="AD48" s="447">
        <f t="shared" si="36"/>
        <v>2717.9</v>
      </c>
      <c r="AE48" s="447">
        <f t="shared" si="37"/>
        <v>2717.9</v>
      </c>
      <c r="AF48" s="443">
        <f>IF(J48="EFETIVO",VLOOKUP(K48,PARAMETROS!$E:AX,11,0),0)</f>
        <v>112.9</v>
      </c>
      <c r="AG48" s="443">
        <f>VLOOKUP(H48,'VA E VT - APOIO.LIMPEZA'!F:AX,14,0)</f>
        <v>223.06049999999999</v>
      </c>
      <c r="AH48" s="443">
        <f>VLOOKUP($H48,'VA E VT - APOIO.LIMPEZA'!$F:AY,20,0)</f>
        <v>132.73560000000001</v>
      </c>
      <c r="AI48" s="443">
        <f>IF($J48="EFETIVO",VLOOKUP($K48,PARAMETROS!$E:BA,14,0),0)</f>
        <v>91.08</v>
      </c>
      <c r="AJ48" s="443">
        <f>IF($J48="EFETIVO",VLOOKUP($K48,PARAMETROS!$E:BB,15,0),0)</f>
        <v>17.03</v>
      </c>
      <c r="AK48" s="443"/>
      <c r="AL48" s="443"/>
      <c r="AM48" s="443"/>
      <c r="AN48" s="443"/>
      <c r="AO48" s="448">
        <f t="shared" si="10"/>
        <v>576.80610000000001</v>
      </c>
      <c r="AP48" s="443">
        <f>IF($J48="EFETIVO",VLOOKUP($K48,PARAMETROS!$E:BH,20,0),0)</f>
        <v>62.37</v>
      </c>
      <c r="AQ48" s="446"/>
      <c r="AR48" s="443">
        <f>IF($J48="EFETIVO",VLOOKUP($K48,PARAMETROS!$E:BJ,22,0),0)</f>
        <v>58.53</v>
      </c>
      <c r="AS48" s="446"/>
      <c r="AT48" s="448">
        <f t="shared" si="11"/>
        <v>120.9</v>
      </c>
      <c r="AU48" s="448">
        <f t="shared" si="12"/>
        <v>666.79146666666668</v>
      </c>
      <c r="AV48" s="448">
        <f t="shared" si="13"/>
        <v>4.89222</v>
      </c>
      <c r="AW48" s="448">
        <f t="shared" si="13"/>
        <v>13.589500000000001</v>
      </c>
      <c r="AX48" s="448">
        <f t="shared" si="13"/>
        <v>1.0871600000000001</v>
      </c>
      <c r="AY48" s="448">
        <f t="shared" si="13"/>
        <v>0.54358000000000006</v>
      </c>
      <c r="AZ48" s="448">
        <f t="shared" si="13"/>
        <v>9.5126500000000007</v>
      </c>
      <c r="BA48" s="448">
        <f t="shared" si="13"/>
        <v>3.5006552000000002</v>
      </c>
      <c r="BB48" s="448">
        <f t="shared" si="13"/>
        <v>4.6204299999999998</v>
      </c>
      <c r="BC48" s="448">
        <f t="shared" si="14"/>
        <v>32.85</v>
      </c>
      <c r="BD48" s="448">
        <f t="shared" si="15"/>
        <v>37.77881</v>
      </c>
      <c r="BE48" s="448">
        <f t="shared" si="15"/>
        <v>22.830359999999999</v>
      </c>
      <c r="BF48" s="448">
        <f t="shared" si="15"/>
        <v>8.9690700000000003</v>
      </c>
      <c r="BG48" s="448">
        <f t="shared" si="15"/>
        <v>0</v>
      </c>
      <c r="BH48" s="448">
        <f t="shared" si="15"/>
        <v>25.604792320000001</v>
      </c>
      <c r="BI48" s="448">
        <f t="shared" si="16"/>
        <v>95.18</v>
      </c>
      <c r="BJ48" s="448">
        <f t="shared" si="17"/>
        <v>799.71</v>
      </c>
      <c r="BK48" s="448">
        <f t="shared" si="18"/>
        <v>226.40107</v>
      </c>
      <c r="BL48" s="448">
        <f t="shared" si="19"/>
        <v>301.95869000000005</v>
      </c>
      <c r="BM48" s="448">
        <f t="shared" si="20"/>
        <v>83.315593759999999</v>
      </c>
      <c r="BN48" s="448">
        <f t="shared" si="21"/>
        <v>111.12079792000002</v>
      </c>
      <c r="BO48" s="448">
        <f t="shared" si="22"/>
        <v>116.86969999999999</v>
      </c>
      <c r="BP48" s="448"/>
      <c r="BQ48" s="448">
        <f t="shared" si="23"/>
        <v>839.66</v>
      </c>
      <c r="BR48" s="448">
        <f t="shared" si="24"/>
        <v>1639.37</v>
      </c>
      <c r="BS48" s="448">
        <f t="shared" si="25"/>
        <v>288.66000000000003</v>
      </c>
      <c r="BT48" s="448">
        <f t="shared" si="26"/>
        <v>346.26</v>
      </c>
      <c r="BU48" s="448">
        <f t="shared" si="27"/>
        <v>373.12788839333331</v>
      </c>
      <c r="BV48" s="448">
        <f t="shared" si="28"/>
        <v>79.431836000000004</v>
      </c>
      <c r="BW48" s="448">
        <f t="shared" si="29"/>
        <v>452.55972439333334</v>
      </c>
      <c r="BX48" s="448">
        <f t="shared" si="30"/>
        <v>1087.4797243933335</v>
      </c>
      <c r="BY48" s="448">
        <f t="shared" si="31"/>
        <v>4396.8291577266664</v>
      </c>
      <c r="BZ48" s="448">
        <f t="shared" si="32"/>
        <v>839.66</v>
      </c>
      <c r="CA48" s="448">
        <f t="shared" si="33"/>
        <v>5236.4891577266662</v>
      </c>
      <c r="CB48" s="449"/>
    </row>
    <row r="49" spans="1:80" s="450" customFormat="1" ht="15.75" customHeight="1">
      <c r="A49" s="435">
        <v>1</v>
      </c>
      <c r="B49" s="435">
        <v>0</v>
      </c>
      <c r="C49" s="435" t="s">
        <v>3287</v>
      </c>
      <c r="D49" s="436">
        <f>VLOOKUP(C49,ISS!A:B,2,0)</f>
        <v>0.05</v>
      </c>
      <c r="E49" s="437">
        <f t="shared" si="8"/>
        <v>9.4600000000000004E-2</v>
      </c>
      <c r="F49" s="438">
        <v>280</v>
      </c>
      <c r="G49" s="439">
        <v>124280</v>
      </c>
      <c r="H49" s="440" t="s">
        <v>4048</v>
      </c>
      <c r="I49" s="435" t="s">
        <v>3848</v>
      </c>
      <c r="J49" s="102" t="s">
        <v>3527</v>
      </c>
      <c r="K49" s="435" t="str">
        <f t="shared" si="38"/>
        <v>Belo HorizonteVIGILANTE ARMADO - 12X36 DIURNO</v>
      </c>
      <c r="L49" s="441" t="s">
        <v>4047</v>
      </c>
      <c r="M49" s="451"/>
      <c r="N49" s="102"/>
      <c r="O49" s="101"/>
      <c r="P49" s="101"/>
      <c r="Q49" s="442">
        <f>VLOOKUP('BANCO DADOS-CUSTO TOTAL'!$K49,PARAMETROS!$E:AX,3,0)</f>
        <v>1602.86</v>
      </c>
      <c r="R49" s="442">
        <f>VLOOKUP('BANCO DADOS-CUSTO TOTAL'!$K49,PARAMETROS!$E:AY,4,0)</f>
        <v>0</v>
      </c>
      <c r="S49" s="442">
        <f>VLOOKUP('BANCO DADOS-CUSTO TOTAL'!$K49,PARAMETROS!$E:AZ,5,0)</f>
        <v>480.85799999999995</v>
      </c>
      <c r="T49" s="442">
        <f>VLOOKUP('BANCO DADOS-CUSTO TOTAL'!$K49,PARAMETROS!$E:BA,6,0)</f>
        <v>0</v>
      </c>
      <c r="U49" s="442">
        <f>VLOOKUP('BANCO DADOS-CUSTO TOTAL'!$K49,PARAMETROS!$E:BB,7,0)</f>
        <v>0</v>
      </c>
      <c r="V49" s="442">
        <f>VLOOKUP('BANCO DADOS-CUSTO TOTAL'!$K49,PARAMETROS!$E:BC,8,0)</f>
        <v>0</v>
      </c>
      <c r="W49" s="442">
        <f>VLOOKUP('BANCO DADOS-CUSTO TOTAL'!$K49,PARAMETROS!$E:BD,9,0)</f>
        <v>146.80740454545455</v>
      </c>
      <c r="X49" s="442">
        <f>VLOOKUP('BANCO DADOS-CUSTO TOTAL'!$K49,PARAMETROS!$E:BE,10,0)</f>
        <v>47.357227272727279</v>
      </c>
      <c r="Y49" s="443">
        <f t="shared" si="9"/>
        <v>2277.88</v>
      </c>
      <c r="Z49" s="456"/>
      <c r="AA49" s="444">
        <v>10</v>
      </c>
      <c r="AB49" s="445">
        <f t="shared" si="34"/>
        <v>0</v>
      </c>
      <c r="AC49" s="446">
        <f t="shared" si="35"/>
        <v>759.29333333333329</v>
      </c>
      <c r="AD49" s="447">
        <f t="shared" si="36"/>
        <v>2277.88</v>
      </c>
      <c r="AE49" s="447">
        <f t="shared" si="37"/>
        <v>0</v>
      </c>
      <c r="AF49" s="443">
        <f>IF(J49="EFETIVO",VLOOKUP(K49,PARAMETROS!$E:AX,11,0),0)</f>
        <v>0</v>
      </c>
      <c r="AG49" s="443">
        <f>VLOOKUP(H49,'VA E VT - APOIO.LIMPEZA'!F:AX,14,0)</f>
        <v>0</v>
      </c>
      <c r="AH49" s="443">
        <f>VLOOKUP($H49,'VA E VT - APOIO.LIMPEZA'!$F:AY,20,0)</f>
        <v>0</v>
      </c>
      <c r="AI49" s="443">
        <f>IF($J49="EFETIVO",VLOOKUP($K49,PARAMETROS!$E:BA,14,0),0)</f>
        <v>0</v>
      </c>
      <c r="AJ49" s="443">
        <f>IF($J49="EFETIVO",VLOOKUP($K49,PARAMETROS!$E:BB,15,0),0)</f>
        <v>0</v>
      </c>
      <c r="AK49" s="443"/>
      <c r="AL49" s="443"/>
      <c r="AM49" s="443"/>
      <c r="AN49" s="443"/>
      <c r="AO49" s="448">
        <f t="shared" si="10"/>
        <v>0</v>
      </c>
      <c r="AP49" s="443">
        <f>IF($J49="EFETIVO",VLOOKUP($K49,PARAMETROS!$E:BH,20,0),0)</f>
        <v>0</v>
      </c>
      <c r="AQ49" s="446"/>
      <c r="AR49" s="443">
        <f>IF($J49="EFETIVO",VLOOKUP($K49,PARAMETROS!$E:BJ,22,0),0)</f>
        <v>0</v>
      </c>
      <c r="AS49" s="446"/>
      <c r="AT49" s="448">
        <f t="shared" si="11"/>
        <v>0</v>
      </c>
      <c r="AU49" s="448">
        <f t="shared" si="12"/>
        <v>279.41994666666665</v>
      </c>
      <c r="AV49" s="448">
        <f t="shared" si="13"/>
        <v>0</v>
      </c>
      <c r="AW49" s="448">
        <f t="shared" si="13"/>
        <v>0</v>
      </c>
      <c r="AX49" s="448">
        <f t="shared" si="13"/>
        <v>0</v>
      </c>
      <c r="AY49" s="448">
        <f t="shared" si="13"/>
        <v>0</v>
      </c>
      <c r="AZ49" s="448">
        <f t="shared" si="13"/>
        <v>0</v>
      </c>
      <c r="BA49" s="448">
        <f t="shared" si="13"/>
        <v>0</v>
      </c>
      <c r="BB49" s="448">
        <f t="shared" si="13"/>
        <v>0</v>
      </c>
      <c r="BC49" s="448">
        <f t="shared" si="14"/>
        <v>0</v>
      </c>
      <c r="BD49" s="448">
        <f t="shared" si="15"/>
        <v>0</v>
      </c>
      <c r="BE49" s="448">
        <f t="shared" si="15"/>
        <v>0</v>
      </c>
      <c r="BF49" s="448">
        <f t="shared" si="15"/>
        <v>0</v>
      </c>
      <c r="BG49" s="448">
        <f t="shared" si="15"/>
        <v>0</v>
      </c>
      <c r="BH49" s="448">
        <f t="shared" si="15"/>
        <v>0</v>
      </c>
      <c r="BI49" s="448">
        <f t="shared" si="16"/>
        <v>0</v>
      </c>
      <c r="BJ49" s="448">
        <f t="shared" si="17"/>
        <v>279.41000000000003</v>
      </c>
      <c r="BK49" s="448">
        <f t="shared" si="18"/>
        <v>0</v>
      </c>
      <c r="BL49" s="448">
        <f t="shared" si="19"/>
        <v>0</v>
      </c>
      <c r="BM49" s="448">
        <f t="shared" si="20"/>
        <v>0</v>
      </c>
      <c r="BN49" s="448">
        <f t="shared" si="21"/>
        <v>0</v>
      </c>
      <c r="BO49" s="448">
        <f t="shared" si="22"/>
        <v>0</v>
      </c>
      <c r="BP49" s="448"/>
      <c r="BQ49" s="448">
        <f t="shared" si="23"/>
        <v>0</v>
      </c>
      <c r="BR49" s="448">
        <f t="shared" si="24"/>
        <v>279.41000000000003</v>
      </c>
      <c r="BS49" s="448">
        <f t="shared" si="25"/>
        <v>0</v>
      </c>
      <c r="BT49" s="448">
        <f t="shared" si="26"/>
        <v>0</v>
      </c>
      <c r="BU49" s="448">
        <f t="shared" si="27"/>
        <v>98.261335333333335</v>
      </c>
      <c r="BV49" s="448">
        <f t="shared" si="28"/>
        <v>0</v>
      </c>
      <c r="BW49" s="448">
        <f t="shared" si="29"/>
        <v>98.261335333333335</v>
      </c>
      <c r="BX49" s="448">
        <f t="shared" si="30"/>
        <v>98.261335333333335</v>
      </c>
      <c r="BY49" s="448">
        <f t="shared" si="31"/>
        <v>1136.9646686666667</v>
      </c>
      <c r="BZ49" s="448">
        <f t="shared" si="32"/>
        <v>0</v>
      </c>
      <c r="CA49" s="448">
        <f t="shared" si="33"/>
        <v>1136.9646686666667</v>
      </c>
      <c r="CB49" s="449" t="s">
        <v>4044</v>
      </c>
    </row>
    <row r="50" spans="1:80" s="450" customFormat="1" ht="15.75" customHeight="1">
      <c r="A50" s="435">
        <v>1</v>
      </c>
      <c r="B50" s="435">
        <v>1</v>
      </c>
      <c r="C50" s="435" t="s">
        <v>3287</v>
      </c>
      <c r="D50" s="436">
        <f>VLOOKUP(C50,ISS!A:B,2,0)</f>
        <v>0.05</v>
      </c>
      <c r="E50" s="437">
        <f t="shared" si="8"/>
        <v>9.4600000000000004E-2</v>
      </c>
      <c r="F50" s="438">
        <v>33</v>
      </c>
      <c r="G50" s="439">
        <v>12373</v>
      </c>
      <c r="H50" s="440" t="s">
        <v>3967</v>
      </c>
      <c r="I50" s="435" t="s">
        <v>3850</v>
      </c>
      <c r="J50" s="102" t="s">
        <v>3521</v>
      </c>
      <c r="K50" s="435" t="str">
        <f t="shared" si="38"/>
        <v>Belo HorizonteVIGILANTE ARMADO - 12X36 NOTURNO</v>
      </c>
      <c r="L50" s="441" t="s">
        <v>3882</v>
      </c>
      <c r="M50" s="451"/>
      <c r="N50" s="102"/>
      <c r="O50" s="101"/>
      <c r="P50" s="101"/>
      <c r="Q50" s="442">
        <f>VLOOKUP('BANCO DADOS-CUSTO TOTAL'!$K50,PARAMETROS!$E:AX,3,0)</f>
        <v>1602.86</v>
      </c>
      <c r="R50" s="442">
        <f>VLOOKUP('BANCO DADOS-CUSTO TOTAL'!$K50,PARAMETROS!$E:AY,4,0)</f>
        <v>0</v>
      </c>
      <c r="S50" s="442">
        <f>VLOOKUP('BANCO DADOS-CUSTO TOTAL'!$K50,PARAMETROS!$E:AZ,5,0)</f>
        <v>480.85799999999995</v>
      </c>
      <c r="T50" s="442">
        <f>VLOOKUP('BANCO DADOS-CUSTO TOTAL'!$K50,PARAMETROS!$E:BA,6,0)</f>
        <v>411.06073272727275</v>
      </c>
      <c r="U50" s="442">
        <f>VLOOKUP('BANCO DADOS-CUSTO TOTAL'!$K50,PARAMETROS!$E:BB,7,0)</f>
        <v>0</v>
      </c>
      <c r="V50" s="442">
        <f>VLOOKUP('BANCO DADOS-CUSTO TOTAL'!$K50,PARAMETROS!$E:BC,8,0)</f>
        <v>0</v>
      </c>
      <c r="W50" s="442">
        <f>VLOOKUP('BANCO DADOS-CUSTO TOTAL'!$K50,PARAMETROS!$E:BD,9,0)</f>
        <v>175.76850162396693</v>
      </c>
      <c r="X50" s="442">
        <f>VLOOKUP('BANCO DADOS-CUSTO TOTAL'!$K50,PARAMETROS!$E:BE,10,0)</f>
        <v>47.357227272727279</v>
      </c>
      <c r="Y50" s="443">
        <f t="shared" si="9"/>
        <v>2717.9</v>
      </c>
      <c r="Z50" s="458"/>
      <c r="AA50" s="444">
        <v>30</v>
      </c>
      <c r="AB50" s="445">
        <f t="shared" si="34"/>
        <v>30</v>
      </c>
      <c r="AC50" s="446">
        <f t="shared" si="35"/>
        <v>2717.9</v>
      </c>
      <c r="AD50" s="447">
        <f t="shared" si="36"/>
        <v>2717.9</v>
      </c>
      <c r="AE50" s="447">
        <f t="shared" si="37"/>
        <v>2717.9</v>
      </c>
      <c r="AF50" s="443">
        <f>IF(J50="EFETIVO",VLOOKUP(K50,PARAMETROS!$E:AX,11,0),0)</f>
        <v>112.9</v>
      </c>
      <c r="AG50" s="443">
        <f>VLOOKUP(H50,'VA E VT - APOIO.LIMPEZA'!F:AX,14,0)</f>
        <v>223.06049999999999</v>
      </c>
      <c r="AH50" s="443">
        <f>VLOOKUP($H50,'VA E VT - APOIO.LIMPEZA'!$F:AY,20,0)</f>
        <v>100.6784</v>
      </c>
      <c r="AI50" s="443">
        <f>IF($J50="EFETIVO",VLOOKUP($K50,PARAMETROS!$E:BA,14,0),0)</f>
        <v>91.08</v>
      </c>
      <c r="AJ50" s="443">
        <f>IF($J50="EFETIVO",VLOOKUP($K50,PARAMETROS!$E:BB,15,0),0)</f>
        <v>17.03</v>
      </c>
      <c r="AK50" s="443"/>
      <c r="AL50" s="443"/>
      <c r="AM50" s="443"/>
      <c r="AN50" s="443"/>
      <c r="AO50" s="448">
        <f t="shared" si="10"/>
        <v>544.74890000000005</v>
      </c>
      <c r="AP50" s="443">
        <f>IF($J50="EFETIVO",VLOOKUP($K50,PARAMETROS!$E:BH,20,0),0)</f>
        <v>62.37</v>
      </c>
      <c r="AQ50" s="446"/>
      <c r="AR50" s="443">
        <f>IF($J50="EFETIVO",VLOOKUP($K50,PARAMETROS!$E:BJ,22,0),0)</f>
        <v>58.53</v>
      </c>
      <c r="AS50" s="446"/>
      <c r="AT50" s="448">
        <f t="shared" si="11"/>
        <v>120.9</v>
      </c>
      <c r="AU50" s="448">
        <f t="shared" si="12"/>
        <v>1000.1872</v>
      </c>
      <c r="AV50" s="448">
        <f t="shared" si="13"/>
        <v>4.89222</v>
      </c>
      <c r="AW50" s="448">
        <f t="shared" si="13"/>
        <v>13.589500000000001</v>
      </c>
      <c r="AX50" s="448">
        <f t="shared" si="13"/>
        <v>1.0871600000000001</v>
      </c>
      <c r="AY50" s="448">
        <f t="shared" si="13"/>
        <v>0.54358000000000006</v>
      </c>
      <c r="AZ50" s="448">
        <f t="shared" si="13"/>
        <v>9.5126500000000007</v>
      </c>
      <c r="BA50" s="448">
        <f t="shared" si="13"/>
        <v>3.5006552000000002</v>
      </c>
      <c r="BB50" s="448">
        <f t="shared" si="13"/>
        <v>4.6204299999999998</v>
      </c>
      <c r="BC50" s="448">
        <f t="shared" si="14"/>
        <v>32.85</v>
      </c>
      <c r="BD50" s="448">
        <f t="shared" si="15"/>
        <v>37.77881</v>
      </c>
      <c r="BE50" s="448">
        <f t="shared" si="15"/>
        <v>22.830359999999999</v>
      </c>
      <c r="BF50" s="448">
        <f t="shared" si="15"/>
        <v>8.9690700000000003</v>
      </c>
      <c r="BG50" s="448">
        <f t="shared" si="15"/>
        <v>0</v>
      </c>
      <c r="BH50" s="448">
        <f t="shared" si="15"/>
        <v>25.604792320000001</v>
      </c>
      <c r="BI50" s="448">
        <f t="shared" si="16"/>
        <v>95.18</v>
      </c>
      <c r="BJ50" s="448">
        <f t="shared" si="17"/>
        <v>1133.0999999999999</v>
      </c>
      <c r="BK50" s="448">
        <f t="shared" si="18"/>
        <v>226.40107</v>
      </c>
      <c r="BL50" s="448">
        <f t="shared" si="19"/>
        <v>301.95869000000005</v>
      </c>
      <c r="BM50" s="448">
        <f t="shared" si="20"/>
        <v>83.315593759999999</v>
      </c>
      <c r="BN50" s="448">
        <f t="shared" si="21"/>
        <v>111.12079792000002</v>
      </c>
      <c r="BO50" s="448">
        <f t="shared" si="22"/>
        <v>116.86969999999999</v>
      </c>
      <c r="BP50" s="448"/>
      <c r="BQ50" s="448">
        <f t="shared" si="23"/>
        <v>839.66</v>
      </c>
      <c r="BR50" s="448">
        <f t="shared" si="24"/>
        <v>1972.76</v>
      </c>
      <c r="BS50" s="448">
        <f t="shared" si="25"/>
        <v>288.66000000000003</v>
      </c>
      <c r="BT50" s="448">
        <f t="shared" si="26"/>
        <v>346.26</v>
      </c>
      <c r="BU50" s="448">
        <f t="shared" si="27"/>
        <v>487.33841794000006</v>
      </c>
      <c r="BV50" s="448">
        <f t="shared" si="28"/>
        <v>79.431836000000004</v>
      </c>
      <c r="BW50" s="448">
        <f t="shared" si="29"/>
        <v>566.77025394000009</v>
      </c>
      <c r="BX50" s="448">
        <f t="shared" si="30"/>
        <v>1201.6902539400003</v>
      </c>
      <c r="BY50" s="448">
        <f t="shared" si="31"/>
        <v>5718.33915394</v>
      </c>
      <c r="BZ50" s="448">
        <f t="shared" si="32"/>
        <v>839.66</v>
      </c>
      <c r="CA50" s="448">
        <f t="shared" si="33"/>
        <v>6557.9991539399998</v>
      </c>
      <c r="CB50" s="449"/>
    </row>
    <row r="51" spans="1:80" s="450" customFormat="1" ht="15.75" customHeight="1">
      <c r="A51" s="435">
        <v>1</v>
      </c>
      <c r="B51" s="435">
        <v>1</v>
      </c>
      <c r="C51" s="435" t="s">
        <v>3287</v>
      </c>
      <c r="D51" s="436">
        <f>VLOOKUP(C51,ISS!A:B,2,0)</f>
        <v>0.05</v>
      </c>
      <c r="E51" s="437">
        <f t="shared" si="8"/>
        <v>9.4600000000000004E-2</v>
      </c>
      <c r="F51" s="438">
        <v>34</v>
      </c>
      <c r="G51" s="439">
        <v>12374</v>
      </c>
      <c r="H51" s="440" t="s">
        <v>3968</v>
      </c>
      <c r="I51" s="435" t="s">
        <v>3850</v>
      </c>
      <c r="J51" s="102" t="s">
        <v>3521</v>
      </c>
      <c r="K51" s="435" t="str">
        <f t="shared" si="38"/>
        <v>Belo HorizonteVIGILANTE ARMADO - 12X36 NOTURNO</v>
      </c>
      <c r="L51" s="441" t="s">
        <v>3882</v>
      </c>
      <c r="M51" s="451"/>
      <c r="N51" s="102"/>
      <c r="O51" s="101"/>
      <c r="P51" s="101"/>
      <c r="Q51" s="442">
        <f>VLOOKUP('BANCO DADOS-CUSTO TOTAL'!$K51,PARAMETROS!$E:AX,3,0)</f>
        <v>1602.86</v>
      </c>
      <c r="R51" s="442">
        <f>VLOOKUP('BANCO DADOS-CUSTO TOTAL'!$K51,PARAMETROS!$E:AY,4,0)</f>
        <v>0</v>
      </c>
      <c r="S51" s="442">
        <f>VLOOKUP('BANCO DADOS-CUSTO TOTAL'!$K51,PARAMETROS!$E:AZ,5,0)</f>
        <v>480.85799999999995</v>
      </c>
      <c r="T51" s="442">
        <f>VLOOKUP('BANCO DADOS-CUSTO TOTAL'!$K51,PARAMETROS!$E:BA,6,0)</f>
        <v>411.06073272727275</v>
      </c>
      <c r="U51" s="442">
        <f>VLOOKUP('BANCO DADOS-CUSTO TOTAL'!$K51,PARAMETROS!$E:BB,7,0)</f>
        <v>0</v>
      </c>
      <c r="V51" s="442">
        <f>VLOOKUP('BANCO DADOS-CUSTO TOTAL'!$K51,PARAMETROS!$E:BC,8,0)</f>
        <v>0</v>
      </c>
      <c r="W51" s="442">
        <f>VLOOKUP('BANCO DADOS-CUSTO TOTAL'!$K51,PARAMETROS!$E:BD,9,0)</f>
        <v>175.76850162396693</v>
      </c>
      <c r="X51" s="442">
        <f>VLOOKUP('BANCO DADOS-CUSTO TOTAL'!$K51,PARAMETROS!$E:BE,10,0)</f>
        <v>47.357227272727279</v>
      </c>
      <c r="Y51" s="443">
        <f t="shared" si="9"/>
        <v>2717.9</v>
      </c>
      <c r="Z51" s="458"/>
      <c r="AA51" s="444">
        <v>30</v>
      </c>
      <c r="AB51" s="445">
        <f t="shared" si="34"/>
        <v>30</v>
      </c>
      <c r="AC51" s="446">
        <f t="shared" si="35"/>
        <v>2717.9</v>
      </c>
      <c r="AD51" s="447">
        <f t="shared" si="36"/>
        <v>2717.9</v>
      </c>
      <c r="AE51" s="447">
        <f t="shared" si="37"/>
        <v>2717.9</v>
      </c>
      <c r="AF51" s="443">
        <f>IF(J51="EFETIVO",VLOOKUP(K51,PARAMETROS!$E:AX,11,0),0)</f>
        <v>112.9</v>
      </c>
      <c r="AG51" s="443">
        <f>VLOOKUP(H51,'VA E VT - APOIO.LIMPEZA'!F:AX,14,0)</f>
        <v>223.06049999999999</v>
      </c>
      <c r="AH51" s="443">
        <f>VLOOKUP($H51,'VA E VT - APOIO.LIMPEZA'!$F:AY,20,0)</f>
        <v>100.6784</v>
      </c>
      <c r="AI51" s="443">
        <f>IF($J51="EFETIVO",VLOOKUP($K51,PARAMETROS!$E:BA,14,0),0)</f>
        <v>91.08</v>
      </c>
      <c r="AJ51" s="443">
        <f>IF($J51="EFETIVO",VLOOKUP($K51,PARAMETROS!$E:BB,15,0),0)</f>
        <v>17.03</v>
      </c>
      <c r="AK51" s="443"/>
      <c r="AL51" s="443"/>
      <c r="AM51" s="443"/>
      <c r="AN51" s="443"/>
      <c r="AO51" s="448">
        <f t="shared" si="10"/>
        <v>544.74890000000005</v>
      </c>
      <c r="AP51" s="443">
        <f>IF($J51="EFETIVO",VLOOKUP($K51,PARAMETROS!$E:BH,20,0),0)</f>
        <v>62.37</v>
      </c>
      <c r="AQ51" s="446"/>
      <c r="AR51" s="443">
        <f>IF($J51="EFETIVO",VLOOKUP($K51,PARAMETROS!$E:BJ,22,0),0)</f>
        <v>58.53</v>
      </c>
      <c r="AS51" s="446"/>
      <c r="AT51" s="448">
        <f t="shared" si="11"/>
        <v>120.9</v>
      </c>
      <c r="AU51" s="448">
        <f t="shared" si="12"/>
        <v>1000.1872</v>
      </c>
      <c r="AV51" s="448">
        <f t="shared" si="13"/>
        <v>4.89222</v>
      </c>
      <c r="AW51" s="448">
        <f t="shared" si="13"/>
        <v>13.589500000000001</v>
      </c>
      <c r="AX51" s="448">
        <f t="shared" si="13"/>
        <v>1.0871600000000001</v>
      </c>
      <c r="AY51" s="448">
        <f t="shared" si="13"/>
        <v>0.54358000000000006</v>
      </c>
      <c r="AZ51" s="448">
        <f t="shared" si="13"/>
        <v>9.5126500000000007</v>
      </c>
      <c r="BA51" s="448">
        <f t="shared" si="13"/>
        <v>3.5006552000000002</v>
      </c>
      <c r="BB51" s="448">
        <f t="shared" si="13"/>
        <v>4.6204299999999998</v>
      </c>
      <c r="BC51" s="448">
        <f t="shared" si="14"/>
        <v>32.85</v>
      </c>
      <c r="BD51" s="448">
        <f t="shared" si="15"/>
        <v>37.77881</v>
      </c>
      <c r="BE51" s="448">
        <f t="shared" si="15"/>
        <v>22.830359999999999</v>
      </c>
      <c r="BF51" s="448">
        <f t="shared" si="15"/>
        <v>8.9690700000000003</v>
      </c>
      <c r="BG51" s="448">
        <f t="shared" si="15"/>
        <v>0</v>
      </c>
      <c r="BH51" s="448">
        <f t="shared" si="15"/>
        <v>25.604792320000001</v>
      </c>
      <c r="BI51" s="448">
        <f t="shared" si="16"/>
        <v>95.18</v>
      </c>
      <c r="BJ51" s="448">
        <f t="shared" si="17"/>
        <v>1133.0999999999999</v>
      </c>
      <c r="BK51" s="448">
        <f t="shared" si="18"/>
        <v>226.40107</v>
      </c>
      <c r="BL51" s="448">
        <f t="shared" si="19"/>
        <v>301.95869000000005</v>
      </c>
      <c r="BM51" s="448">
        <f t="shared" si="20"/>
        <v>83.315593759999999</v>
      </c>
      <c r="BN51" s="448">
        <f t="shared" si="21"/>
        <v>111.12079792000002</v>
      </c>
      <c r="BO51" s="448">
        <f t="shared" si="22"/>
        <v>116.86969999999999</v>
      </c>
      <c r="BP51" s="448"/>
      <c r="BQ51" s="448">
        <f t="shared" si="23"/>
        <v>839.66</v>
      </c>
      <c r="BR51" s="448">
        <f t="shared" si="24"/>
        <v>1972.76</v>
      </c>
      <c r="BS51" s="448">
        <f t="shared" si="25"/>
        <v>288.66000000000003</v>
      </c>
      <c r="BT51" s="448">
        <f t="shared" si="26"/>
        <v>346.26</v>
      </c>
      <c r="BU51" s="448">
        <f t="shared" si="27"/>
        <v>487.33841794000006</v>
      </c>
      <c r="BV51" s="448">
        <f t="shared" si="28"/>
        <v>79.431836000000004</v>
      </c>
      <c r="BW51" s="448">
        <f t="shared" si="29"/>
        <v>566.77025394000009</v>
      </c>
      <c r="BX51" s="448">
        <f t="shared" si="30"/>
        <v>1201.6902539400003</v>
      </c>
      <c r="BY51" s="448">
        <f t="shared" si="31"/>
        <v>5718.33915394</v>
      </c>
      <c r="BZ51" s="448">
        <f t="shared" si="32"/>
        <v>839.66</v>
      </c>
      <c r="CA51" s="448">
        <f t="shared" si="33"/>
        <v>6557.9991539399998</v>
      </c>
      <c r="CB51" s="449"/>
    </row>
    <row r="52" spans="1:80" s="450" customFormat="1" ht="15.75" customHeight="1">
      <c r="A52" s="435">
        <v>1</v>
      </c>
      <c r="B52" s="435">
        <v>1</v>
      </c>
      <c r="C52" s="435" t="s">
        <v>3287</v>
      </c>
      <c r="D52" s="436">
        <f>VLOOKUP(C52,ISS!A:B,2,0)</f>
        <v>0.05</v>
      </c>
      <c r="E52" s="437">
        <f t="shared" si="8"/>
        <v>9.4600000000000004E-2</v>
      </c>
      <c r="F52" s="438">
        <v>35</v>
      </c>
      <c r="G52" s="439">
        <v>12375</v>
      </c>
      <c r="H52" s="440" t="s">
        <v>3969</v>
      </c>
      <c r="I52" s="435" t="s">
        <v>3850</v>
      </c>
      <c r="J52" s="102" t="s">
        <v>3521</v>
      </c>
      <c r="K52" s="435" t="str">
        <f t="shared" si="38"/>
        <v>Belo HorizonteVIGILANTE ARMADO - 12X36 NOTURNO</v>
      </c>
      <c r="L52" s="441" t="s">
        <v>3882</v>
      </c>
      <c r="M52" s="451"/>
      <c r="N52" s="102"/>
      <c r="O52" s="101"/>
      <c r="P52" s="101"/>
      <c r="Q52" s="442">
        <f>VLOOKUP('BANCO DADOS-CUSTO TOTAL'!$K52,PARAMETROS!$E:AX,3,0)</f>
        <v>1602.86</v>
      </c>
      <c r="R52" s="442">
        <f>VLOOKUP('BANCO DADOS-CUSTO TOTAL'!$K52,PARAMETROS!$E:AY,4,0)</f>
        <v>0</v>
      </c>
      <c r="S52" s="442">
        <f>VLOOKUP('BANCO DADOS-CUSTO TOTAL'!$K52,PARAMETROS!$E:AZ,5,0)</f>
        <v>480.85799999999995</v>
      </c>
      <c r="T52" s="442">
        <f>VLOOKUP('BANCO DADOS-CUSTO TOTAL'!$K52,PARAMETROS!$E:BA,6,0)</f>
        <v>411.06073272727275</v>
      </c>
      <c r="U52" s="442">
        <f>VLOOKUP('BANCO DADOS-CUSTO TOTAL'!$K52,PARAMETROS!$E:BB,7,0)</f>
        <v>0</v>
      </c>
      <c r="V52" s="442">
        <f>VLOOKUP('BANCO DADOS-CUSTO TOTAL'!$K52,PARAMETROS!$E:BC,8,0)</f>
        <v>0</v>
      </c>
      <c r="W52" s="442">
        <f>VLOOKUP('BANCO DADOS-CUSTO TOTAL'!$K52,PARAMETROS!$E:BD,9,0)</f>
        <v>175.76850162396693</v>
      </c>
      <c r="X52" s="442">
        <f>VLOOKUP('BANCO DADOS-CUSTO TOTAL'!$K52,PARAMETROS!$E:BE,10,0)</f>
        <v>47.357227272727279</v>
      </c>
      <c r="Y52" s="443">
        <f t="shared" si="9"/>
        <v>2717.9</v>
      </c>
      <c r="Z52" s="458"/>
      <c r="AA52" s="444">
        <v>30</v>
      </c>
      <c r="AB52" s="445">
        <f t="shared" si="34"/>
        <v>30</v>
      </c>
      <c r="AC52" s="446">
        <f t="shared" si="35"/>
        <v>2717.9</v>
      </c>
      <c r="AD52" s="447">
        <f t="shared" si="36"/>
        <v>2717.9</v>
      </c>
      <c r="AE52" s="447">
        <f t="shared" si="37"/>
        <v>2717.9</v>
      </c>
      <c r="AF52" s="443">
        <f>IF(J52="EFETIVO",VLOOKUP(K52,PARAMETROS!$E:AX,11,0),0)</f>
        <v>112.9</v>
      </c>
      <c r="AG52" s="443">
        <f>VLOOKUP(H52,'VA E VT - APOIO.LIMPEZA'!F:AX,14,0)</f>
        <v>223.06049999999999</v>
      </c>
      <c r="AH52" s="443">
        <f>VLOOKUP($H52,'VA E VT - APOIO.LIMPEZA'!$F:AY,20,0)</f>
        <v>100.6784</v>
      </c>
      <c r="AI52" s="443">
        <f>IF($J52="EFETIVO",VLOOKUP($K52,PARAMETROS!$E:BA,14,0),0)</f>
        <v>91.08</v>
      </c>
      <c r="AJ52" s="443">
        <f>IF($J52="EFETIVO",VLOOKUP($K52,PARAMETROS!$E:BB,15,0),0)</f>
        <v>17.03</v>
      </c>
      <c r="AK52" s="443"/>
      <c r="AL52" s="443"/>
      <c r="AM52" s="443"/>
      <c r="AN52" s="443"/>
      <c r="AO52" s="448">
        <f t="shared" si="10"/>
        <v>544.74890000000005</v>
      </c>
      <c r="AP52" s="443">
        <f>IF($J52="EFETIVO",VLOOKUP($K52,PARAMETROS!$E:BH,20,0),0)</f>
        <v>62.37</v>
      </c>
      <c r="AQ52" s="446"/>
      <c r="AR52" s="443">
        <f>IF($J52="EFETIVO",VLOOKUP($K52,PARAMETROS!$E:BJ,22,0),0)</f>
        <v>58.53</v>
      </c>
      <c r="AS52" s="446"/>
      <c r="AT52" s="448">
        <f t="shared" si="11"/>
        <v>120.9</v>
      </c>
      <c r="AU52" s="448">
        <f t="shared" si="12"/>
        <v>1000.1872</v>
      </c>
      <c r="AV52" s="448">
        <f t="shared" si="13"/>
        <v>4.89222</v>
      </c>
      <c r="AW52" s="448">
        <f t="shared" si="13"/>
        <v>13.589500000000001</v>
      </c>
      <c r="AX52" s="448">
        <f t="shared" si="13"/>
        <v>1.0871600000000001</v>
      </c>
      <c r="AY52" s="448">
        <f t="shared" si="13"/>
        <v>0.54358000000000006</v>
      </c>
      <c r="AZ52" s="448">
        <f t="shared" si="13"/>
        <v>9.5126500000000007</v>
      </c>
      <c r="BA52" s="448">
        <f t="shared" si="13"/>
        <v>3.5006552000000002</v>
      </c>
      <c r="BB52" s="448">
        <f t="shared" si="13"/>
        <v>4.6204299999999998</v>
      </c>
      <c r="BC52" s="448">
        <f t="shared" si="14"/>
        <v>32.85</v>
      </c>
      <c r="BD52" s="448">
        <f t="shared" si="15"/>
        <v>37.77881</v>
      </c>
      <c r="BE52" s="448">
        <f t="shared" si="15"/>
        <v>22.830359999999999</v>
      </c>
      <c r="BF52" s="448">
        <f t="shared" si="15"/>
        <v>8.9690700000000003</v>
      </c>
      <c r="BG52" s="448">
        <f t="shared" si="15"/>
        <v>0</v>
      </c>
      <c r="BH52" s="448">
        <f t="shared" si="15"/>
        <v>25.604792320000001</v>
      </c>
      <c r="BI52" s="448">
        <f t="shared" si="16"/>
        <v>95.18</v>
      </c>
      <c r="BJ52" s="448">
        <f t="shared" si="17"/>
        <v>1133.0999999999999</v>
      </c>
      <c r="BK52" s="448">
        <f t="shared" si="18"/>
        <v>226.40107</v>
      </c>
      <c r="BL52" s="448">
        <f t="shared" si="19"/>
        <v>301.95869000000005</v>
      </c>
      <c r="BM52" s="448">
        <f t="shared" si="20"/>
        <v>83.315593759999999</v>
      </c>
      <c r="BN52" s="448">
        <f t="shared" si="21"/>
        <v>111.12079792000002</v>
      </c>
      <c r="BO52" s="448">
        <f t="shared" si="22"/>
        <v>116.86969999999999</v>
      </c>
      <c r="BP52" s="448"/>
      <c r="BQ52" s="448">
        <f t="shared" si="23"/>
        <v>839.66</v>
      </c>
      <c r="BR52" s="448">
        <f t="shared" si="24"/>
        <v>1972.76</v>
      </c>
      <c r="BS52" s="448">
        <f t="shared" si="25"/>
        <v>288.66000000000003</v>
      </c>
      <c r="BT52" s="448">
        <f t="shared" si="26"/>
        <v>346.26</v>
      </c>
      <c r="BU52" s="448">
        <f t="shared" si="27"/>
        <v>487.33841794000006</v>
      </c>
      <c r="BV52" s="448">
        <f t="shared" si="28"/>
        <v>79.431836000000004</v>
      </c>
      <c r="BW52" s="448">
        <f t="shared" si="29"/>
        <v>566.77025394000009</v>
      </c>
      <c r="BX52" s="448">
        <f t="shared" si="30"/>
        <v>1201.6902539400003</v>
      </c>
      <c r="BY52" s="448">
        <f t="shared" si="31"/>
        <v>5718.33915394</v>
      </c>
      <c r="BZ52" s="448">
        <f t="shared" si="32"/>
        <v>839.66</v>
      </c>
      <c r="CA52" s="448">
        <f t="shared" si="33"/>
        <v>6557.9991539399998</v>
      </c>
      <c r="CB52" s="449"/>
    </row>
    <row r="53" spans="1:80" s="450" customFormat="1" ht="15.75" customHeight="1">
      <c r="A53" s="435">
        <v>1</v>
      </c>
      <c r="B53" s="435">
        <v>1</v>
      </c>
      <c r="C53" s="435" t="s">
        <v>3287</v>
      </c>
      <c r="D53" s="436">
        <f>VLOOKUP(C53,ISS!A:B,2,0)</f>
        <v>0.05</v>
      </c>
      <c r="E53" s="437">
        <f t="shared" si="8"/>
        <v>9.4600000000000004E-2</v>
      </c>
      <c r="F53" s="438">
        <v>36</v>
      </c>
      <c r="G53" s="439">
        <v>12376</v>
      </c>
      <c r="H53" s="440" t="s">
        <v>3970</v>
      </c>
      <c r="I53" s="435" t="s">
        <v>3850</v>
      </c>
      <c r="J53" s="102" t="s">
        <v>3521</v>
      </c>
      <c r="K53" s="435" t="str">
        <f t="shared" si="38"/>
        <v>Belo HorizonteVIGILANTE ARMADO - 12X36 NOTURNO</v>
      </c>
      <c r="L53" s="441" t="s">
        <v>3882</v>
      </c>
      <c r="M53" s="451"/>
      <c r="N53" s="102"/>
      <c r="O53" s="101"/>
      <c r="P53" s="101"/>
      <c r="Q53" s="442">
        <f>VLOOKUP('BANCO DADOS-CUSTO TOTAL'!$K53,PARAMETROS!$E:AX,3,0)</f>
        <v>1602.86</v>
      </c>
      <c r="R53" s="442">
        <f>VLOOKUP('BANCO DADOS-CUSTO TOTAL'!$K53,PARAMETROS!$E:AY,4,0)</f>
        <v>0</v>
      </c>
      <c r="S53" s="442">
        <f>VLOOKUP('BANCO DADOS-CUSTO TOTAL'!$K53,PARAMETROS!$E:AZ,5,0)</f>
        <v>480.85799999999995</v>
      </c>
      <c r="T53" s="442">
        <f>VLOOKUP('BANCO DADOS-CUSTO TOTAL'!$K53,PARAMETROS!$E:BA,6,0)</f>
        <v>411.06073272727275</v>
      </c>
      <c r="U53" s="442">
        <f>VLOOKUP('BANCO DADOS-CUSTO TOTAL'!$K53,PARAMETROS!$E:BB,7,0)</f>
        <v>0</v>
      </c>
      <c r="V53" s="442">
        <f>VLOOKUP('BANCO DADOS-CUSTO TOTAL'!$K53,PARAMETROS!$E:BC,8,0)</f>
        <v>0</v>
      </c>
      <c r="W53" s="442">
        <f>VLOOKUP('BANCO DADOS-CUSTO TOTAL'!$K53,PARAMETROS!$E:BD,9,0)</f>
        <v>175.76850162396693</v>
      </c>
      <c r="X53" s="442">
        <f>VLOOKUP('BANCO DADOS-CUSTO TOTAL'!$K53,PARAMETROS!$E:BE,10,0)</f>
        <v>47.357227272727279</v>
      </c>
      <c r="Y53" s="443">
        <f t="shared" si="9"/>
        <v>2717.9</v>
      </c>
      <c r="Z53" s="458"/>
      <c r="AA53" s="444">
        <v>30</v>
      </c>
      <c r="AB53" s="445">
        <f t="shared" si="34"/>
        <v>30</v>
      </c>
      <c r="AC53" s="446">
        <f t="shared" si="35"/>
        <v>2717.9</v>
      </c>
      <c r="AD53" s="447">
        <f t="shared" si="36"/>
        <v>2717.9</v>
      </c>
      <c r="AE53" s="447">
        <f t="shared" si="37"/>
        <v>2717.9</v>
      </c>
      <c r="AF53" s="443">
        <f>IF(J53="EFETIVO",VLOOKUP(K53,PARAMETROS!$E:AX,11,0),0)</f>
        <v>112.9</v>
      </c>
      <c r="AG53" s="443">
        <f>VLOOKUP(H53,'VA E VT - APOIO.LIMPEZA'!F:AX,14,0)</f>
        <v>223.06049999999999</v>
      </c>
      <c r="AH53" s="443">
        <f>VLOOKUP($H53,'VA E VT - APOIO.LIMPEZA'!$F:AY,20,0)</f>
        <v>100.6784</v>
      </c>
      <c r="AI53" s="443">
        <f>IF($J53="EFETIVO",VLOOKUP($K53,PARAMETROS!$E:BA,14,0),0)</f>
        <v>91.08</v>
      </c>
      <c r="AJ53" s="443">
        <f>IF($J53="EFETIVO",VLOOKUP($K53,PARAMETROS!$E:BB,15,0),0)</f>
        <v>17.03</v>
      </c>
      <c r="AK53" s="443"/>
      <c r="AL53" s="443"/>
      <c r="AM53" s="443"/>
      <c r="AN53" s="443"/>
      <c r="AO53" s="448">
        <f t="shared" si="10"/>
        <v>544.74890000000005</v>
      </c>
      <c r="AP53" s="443">
        <f>IF($J53="EFETIVO",VLOOKUP($K53,PARAMETROS!$E:BH,20,0),0)</f>
        <v>62.37</v>
      </c>
      <c r="AQ53" s="446"/>
      <c r="AR53" s="443">
        <f>IF($J53="EFETIVO",VLOOKUP($K53,PARAMETROS!$E:BJ,22,0),0)</f>
        <v>58.53</v>
      </c>
      <c r="AS53" s="446"/>
      <c r="AT53" s="448">
        <f t="shared" si="11"/>
        <v>120.9</v>
      </c>
      <c r="AU53" s="448">
        <f t="shared" si="12"/>
        <v>1000.1872</v>
      </c>
      <c r="AV53" s="448">
        <f t="shared" si="13"/>
        <v>4.89222</v>
      </c>
      <c r="AW53" s="448">
        <f t="shared" si="13"/>
        <v>13.589500000000001</v>
      </c>
      <c r="AX53" s="448">
        <f t="shared" si="13"/>
        <v>1.0871600000000001</v>
      </c>
      <c r="AY53" s="448">
        <f t="shared" ref="AY53:BB71" si="39">IF($J53="EFETIVO",$Y53*AY$10,0)</f>
        <v>0.54358000000000006</v>
      </c>
      <c r="AZ53" s="448">
        <f t="shared" si="39"/>
        <v>9.5126500000000007</v>
      </c>
      <c r="BA53" s="448">
        <f t="shared" si="39"/>
        <v>3.5006552000000002</v>
      </c>
      <c r="BB53" s="448">
        <f t="shared" si="39"/>
        <v>4.6204299999999998</v>
      </c>
      <c r="BC53" s="448">
        <f t="shared" si="14"/>
        <v>32.85</v>
      </c>
      <c r="BD53" s="448">
        <f t="shared" si="15"/>
        <v>37.77881</v>
      </c>
      <c r="BE53" s="448">
        <f t="shared" si="15"/>
        <v>22.830359999999999</v>
      </c>
      <c r="BF53" s="448">
        <f t="shared" si="15"/>
        <v>8.9690700000000003</v>
      </c>
      <c r="BG53" s="448">
        <f t="shared" si="15"/>
        <v>0</v>
      </c>
      <c r="BH53" s="448">
        <f t="shared" si="15"/>
        <v>25.604792320000001</v>
      </c>
      <c r="BI53" s="448">
        <f t="shared" si="16"/>
        <v>95.18</v>
      </c>
      <c r="BJ53" s="448">
        <f t="shared" si="17"/>
        <v>1133.0999999999999</v>
      </c>
      <c r="BK53" s="448">
        <f t="shared" si="18"/>
        <v>226.40107</v>
      </c>
      <c r="BL53" s="448">
        <f t="shared" si="19"/>
        <v>301.95869000000005</v>
      </c>
      <c r="BM53" s="448">
        <f t="shared" si="20"/>
        <v>83.315593759999999</v>
      </c>
      <c r="BN53" s="448">
        <f t="shared" si="21"/>
        <v>111.12079792000002</v>
      </c>
      <c r="BO53" s="448">
        <f t="shared" si="22"/>
        <v>116.86969999999999</v>
      </c>
      <c r="BP53" s="448"/>
      <c r="BQ53" s="448">
        <f t="shared" si="23"/>
        <v>839.66</v>
      </c>
      <c r="BR53" s="448">
        <f t="shared" si="24"/>
        <v>1972.76</v>
      </c>
      <c r="BS53" s="448">
        <f t="shared" si="25"/>
        <v>288.66000000000003</v>
      </c>
      <c r="BT53" s="448">
        <f t="shared" si="26"/>
        <v>346.26</v>
      </c>
      <c r="BU53" s="448">
        <f t="shared" si="27"/>
        <v>487.33841794000006</v>
      </c>
      <c r="BV53" s="448">
        <f t="shared" si="28"/>
        <v>79.431836000000004</v>
      </c>
      <c r="BW53" s="448">
        <f t="shared" si="29"/>
        <v>566.77025394000009</v>
      </c>
      <c r="BX53" s="448">
        <f t="shared" si="30"/>
        <v>1201.6902539400003</v>
      </c>
      <c r="BY53" s="448">
        <f t="shared" si="31"/>
        <v>5718.33915394</v>
      </c>
      <c r="BZ53" s="448">
        <f t="shared" si="32"/>
        <v>839.66</v>
      </c>
      <c r="CA53" s="448">
        <f t="shared" si="33"/>
        <v>6557.9991539399998</v>
      </c>
      <c r="CB53" s="449"/>
    </row>
    <row r="54" spans="1:80" s="450" customFormat="1" ht="15.75" customHeight="1">
      <c r="A54" s="435">
        <v>1</v>
      </c>
      <c r="B54" s="435">
        <v>1</v>
      </c>
      <c r="C54" s="435" t="s">
        <v>3287</v>
      </c>
      <c r="D54" s="436">
        <f>VLOOKUP(C54,ISS!A:B,2,0)</f>
        <v>0.05</v>
      </c>
      <c r="E54" s="437">
        <f t="shared" si="8"/>
        <v>9.4600000000000004E-2</v>
      </c>
      <c r="F54" s="438">
        <v>37</v>
      </c>
      <c r="G54" s="439">
        <v>12377</v>
      </c>
      <c r="H54" s="440" t="s">
        <v>3971</v>
      </c>
      <c r="I54" s="435" t="s">
        <v>3850</v>
      </c>
      <c r="J54" s="102" t="s">
        <v>3521</v>
      </c>
      <c r="K54" s="435" t="str">
        <f t="shared" si="38"/>
        <v>Belo HorizonteVIGILANTE ARMADO - 12X36 NOTURNO</v>
      </c>
      <c r="L54" s="441" t="s">
        <v>3882</v>
      </c>
      <c r="M54" s="451"/>
      <c r="N54" s="102"/>
      <c r="O54" s="101"/>
      <c r="P54" s="101"/>
      <c r="Q54" s="442">
        <f>VLOOKUP('BANCO DADOS-CUSTO TOTAL'!$K54,PARAMETROS!$E:AX,3,0)</f>
        <v>1602.86</v>
      </c>
      <c r="R54" s="442">
        <f>VLOOKUP('BANCO DADOS-CUSTO TOTAL'!$K54,PARAMETROS!$E:AY,4,0)</f>
        <v>0</v>
      </c>
      <c r="S54" s="442">
        <f>VLOOKUP('BANCO DADOS-CUSTO TOTAL'!$K54,PARAMETROS!$E:AZ,5,0)</f>
        <v>480.85799999999995</v>
      </c>
      <c r="T54" s="442">
        <f>VLOOKUP('BANCO DADOS-CUSTO TOTAL'!$K54,PARAMETROS!$E:BA,6,0)</f>
        <v>411.06073272727275</v>
      </c>
      <c r="U54" s="442">
        <f>VLOOKUP('BANCO DADOS-CUSTO TOTAL'!$K54,PARAMETROS!$E:BB,7,0)</f>
        <v>0</v>
      </c>
      <c r="V54" s="442">
        <f>VLOOKUP('BANCO DADOS-CUSTO TOTAL'!$K54,PARAMETROS!$E:BC,8,0)</f>
        <v>0</v>
      </c>
      <c r="W54" s="442">
        <f>VLOOKUP('BANCO DADOS-CUSTO TOTAL'!$K54,PARAMETROS!$E:BD,9,0)</f>
        <v>175.76850162396693</v>
      </c>
      <c r="X54" s="442">
        <f>VLOOKUP('BANCO DADOS-CUSTO TOTAL'!$K54,PARAMETROS!$E:BE,10,0)</f>
        <v>47.357227272727279</v>
      </c>
      <c r="Y54" s="443">
        <f t="shared" si="9"/>
        <v>2717.9</v>
      </c>
      <c r="Z54" s="458"/>
      <c r="AA54" s="444">
        <v>30</v>
      </c>
      <c r="AB54" s="445">
        <f t="shared" si="34"/>
        <v>30</v>
      </c>
      <c r="AC54" s="446">
        <f t="shared" si="35"/>
        <v>2717.9</v>
      </c>
      <c r="AD54" s="447">
        <f t="shared" si="36"/>
        <v>2717.9</v>
      </c>
      <c r="AE54" s="447">
        <f t="shared" si="37"/>
        <v>2717.9</v>
      </c>
      <c r="AF54" s="443">
        <f>IF(J54="EFETIVO",VLOOKUP(K54,PARAMETROS!$E:AX,11,0),0)</f>
        <v>112.9</v>
      </c>
      <c r="AG54" s="443">
        <f>VLOOKUP(H54,'VA E VT - APOIO.LIMPEZA'!F:AX,14,0)</f>
        <v>223.06049999999999</v>
      </c>
      <c r="AH54" s="443">
        <f>VLOOKUP($H54,'VA E VT - APOIO.LIMPEZA'!$F:AY,20,0)</f>
        <v>100.6784</v>
      </c>
      <c r="AI54" s="443">
        <f>IF($J54="EFETIVO",VLOOKUP($K54,PARAMETROS!$E:BA,14,0),0)</f>
        <v>91.08</v>
      </c>
      <c r="AJ54" s="443">
        <f>IF($J54="EFETIVO",VLOOKUP($K54,PARAMETROS!$E:BB,15,0),0)</f>
        <v>17.03</v>
      </c>
      <c r="AK54" s="443"/>
      <c r="AL54" s="443"/>
      <c r="AM54" s="443"/>
      <c r="AN54" s="443"/>
      <c r="AO54" s="448">
        <f t="shared" si="10"/>
        <v>544.74890000000005</v>
      </c>
      <c r="AP54" s="443">
        <f>IF($J54="EFETIVO",VLOOKUP($K54,PARAMETROS!$E:BH,20,0),0)</f>
        <v>62.37</v>
      </c>
      <c r="AQ54" s="446"/>
      <c r="AR54" s="443">
        <f>IF($J54="EFETIVO",VLOOKUP($K54,PARAMETROS!$E:BJ,22,0),0)</f>
        <v>58.53</v>
      </c>
      <c r="AS54" s="446"/>
      <c r="AT54" s="448">
        <f t="shared" si="11"/>
        <v>120.9</v>
      </c>
      <c r="AU54" s="448">
        <f t="shared" si="12"/>
        <v>1000.1872</v>
      </c>
      <c r="AV54" s="448">
        <f t="shared" ref="AV54:AX71" si="40">IF($J54="EFETIVO",$Y54*AV$10,0)</f>
        <v>4.89222</v>
      </c>
      <c r="AW54" s="448">
        <f t="shared" si="40"/>
        <v>13.589500000000001</v>
      </c>
      <c r="AX54" s="448">
        <f t="shared" si="40"/>
        <v>1.0871600000000001</v>
      </c>
      <c r="AY54" s="448">
        <f t="shared" si="39"/>
        <v>0.54358000000000006</v>
      </c>
      <c r="AZ54" s="448">
        <f t="shared" si="39"/>
        <v>9.5126500000000007</v>
      </c>
      <c r="BA54" s="448">
        <f t="shared" si="39"/>
        <v>3.5006552000000002</v>
      </c>
      <c r="BB54" s="448">
        <f t="shared" si="39"/>
        <v>4.6204299999999998</v>
      </c>
      <c r="BC54" s="448">
        <f t="shared" si="14"/>
        <v>32.85</v>
      </c>
      <c r="BD54" s="448">
        <f t="shared" si="15"/>
        <v>37.77881</v>
      </c>
      <c r="BE54" s="448">
        <f t="shared" si="15"/>
        <v>22.830359999999999</v>
      </c>
      <c r="BF54" s="448">
        <f t="shared" si="15"/>
        <v>8.9690700000000003</v>
      </c>
      <c r="BG54" s="448">
        <f t="shared" si="15"/>
        <v>0</v>
      </c>
      <c r="BH54" s="448">
        <f t="shared" si="15"/>
        <v>25.604792320000001</v>
      </c>
      <c r="BI54" s="448">
        <f t="shared" si="16"/>
        <v>95.18</v>
      </c>
      <c r="BJ54" s="448">
        <f t="shared" si="17"/>
        <v>1133.0999999999999</v>
      </c>
      <c r="BK54" s="448">
        <f t="shared" si="18"/>
        <v>226.40107</v>
      </c>
      <c r="BL54" s="448">
        <f t="shared" si="19"/>
        <v>301.95869000000005</v>
      </c>
      <c r="BM54" s="448">
        <f t="shared" si="20"/>
        <v>83.315593759999999</v>
      </c>
      <c r="BN54" s="448">
        <f t="shared" si="21"/>
        <v>111.12079792000002</v>
      </c>
      <c r="BO54" s="448">
        <f t="shared" si="22"/>
        <v>116.86969999999999</v>
      </c>
      <c r="BP54" s="448"/>
      <c r="BQ54" s="448">
        <f t="shared" si="23"/>
        <v>839.66</v>
      </c>
      <c r="BR54" s="448">
        <f t="shared" si="24"/>
        <v>1972.76</v>
      </c>
      <c r="BS54" s="448">
        <f t="shared" si="25"/>
        <v>288.66000000000003</v>
      </c>
      <c r="BT54" s="448">
        <f t="shared" si="26"/>
        <v>346.26</v>
      </c>
      <c r="BU54" s="448">
        <f t="shared" si="27"/>
        <v>487.33841794000006</v>
      </c>
      <c r="BV54" s="448">
        <f t="shared" si="28"/>
        <v>79.431836000000004</v>
      </c>
      <c r="BW54" s="448">
        <f t="shared" si="29"/>
        <v>566.77025394000009</v>
      </c>
      <c r="BX54" s="448">
        <f t="shared" si="30"/>
        <v>1201.6902539400003</v>
      </c>
      <c r="BY54" s="448">
        <f t="shared" si="31"/>
        <v>5718.33915394</v>
      </c>
      <c r="BZ54" s="448">
        <f t="shared" si="32"/>
        <v>839.66</v>
      </c>
      <c r="CA54" s="448">
        <f t="shared" si="33"/>
        <v>6557.9991539399998</v>
      </c>
      <c r="CB54" s="449"/>
    </row>
    <row r="55" spans="1:80" s="535" customFormat="1" ht="15.75" customHeight="1">
      <c r="A55" s="519">
        <v>1</v>
      </c>
      <c r="B55" s="519">
        <v>1</v>
      </c>
      <c r="C55" s="519" t="s">
        <v>3287</v>
      </c>
      <c r="D55" s="579">
        <f>VLOOKUP(C55,ISS!A:B,2,0)</f>
        <v>0.05</v>
      </c>
      <c r="E55" s="584">
        <f t="shared" si="8"/>
        <v>9.4600000000000004E-2</v>
      </c>
      <c r="F55" s="520">
        <v>256</v>
      </c>
      <c r="G55" s="521">
        <v>124256</v>
      </c>
      <c r="H55" s="518" t="s">
        <v>3972</v>
      </c>
      <c r="I55" s="519" t="s">
        <v>3850</v>
      </c>
      <c r="J55" s="522" t="s">
        <v>3521</v>
      </c>
      <c r="K55" s="519" t="str">
        <f>CONCATENATE(C55,I55)</f>
        <v>Belo HorizonteVIGILANTE ARMADO - 12X36 NOTURNO</v>
      </c>
      <c r="L55" s="523" t="s">
        <v>3926</v>
      </c>
      <c r="M55" s="524"/>
      <c r="N55" s="522" t="s">
        <v>3915</v>
      </c>
      <c r="O55" s="525"/>
      <c r="P55" s="525"/>
      <c r="Q55" s="526">
        <f>VLOOKUP('BANCO DADOS-CUSTO TOTAL'!$K55,PARAMETROS!$E:AX,3,0)</f>
        <v>1602.86</v>
      </c>
      <c r="R55" s="526">
        <f>VLOOKUP('BANCO DADOS-CUSTO TOTAL'!$K55,PARAMETROS!$E:AY,4,0)</f>
        <v>0</v>
      </c>
      <c r="S55" s="526">
        <f>VLOOKUP('BANCO DADOS-CUSTO TOTAL'!$K55,PARAMETROS!$E:AZ,5,0)</f>
        <v>480.85799999999995</v>
      </c>
      <c r="T55" s="526">
        <f>VLOOKUP('BANCO DADOS-CUSTO TOTAL'!$K55,PARAMETROS!$E:BA,6,0)</f>
        <v>411.06073272727275</v>
      </c>
      <c r="U55" s="526">
        <f>VLOOKUP('BANCO DADOS-CUSTO TOTAL'!$K55,PARAMETROS!$E:BB,7,0)</f>
        <v>0</v>
      </c>
      <c r="V55" s="526">
        <f>VLOOKUP('BANCO DADOS-CUSTO TOTAL'!$K55,PARAMETROS!$E:BC,8,0)</f>
        <v>0</v>
      </c>
      <c r="W55" s="526">
        <f>VLOOKUP('BANCO DADOS-CUSTO TOTAL'!$K55,PARAMETROS!$E:BD,9,0)</f>
        <v>175.76850162396693</v>
      </c>
      <c r="X55" s="526">
        <f>VLOOKUP('BANCO DADOS-CUSTO TOTAL'!$K55,PARAMETROS!$E:BE,10,0)</f>
        <v>47.357227272727279</v>
      </c>
      <c r="Y55" s="527">
        <f t="shared" si="9"/>
        <v>2717.9</v>
      </c>
      <c r="Z55" s="528"/>
      <c r="AA55" s="529">
        <v>11</v>
      </c>
      <c r="AB55" s="530">
        <f t="shared" si="34"/>
        <v>11</v>
      </c>
      <c r="AC55" s="531">
        <f t="shared" si="35"/>
        <v>996.56333333333328</v>
      </c>
      <c r="AD55" s="532">
        <f t="shared" si="36"/>
        <v>2717.9</v>
      </c>
      <c r="AE55" s="532">
        <f t="shared" si="37"/>
        <v>996.56333333333328</v>
      </c>
      <c r="AF55" s="527">
        <f>IF(J55="EFETIVO",VLOOKUP(K55,PARAMETROS!$E:AX,11,0),0)</f>
        <v>112.9</v>
      </c>
      <c r="AG55" s="527">
        <f>VLOOKUP(H55,'VA E VT - APOIO.LIMPEZA'!F:AX,14,0)</f>
        <v>86.346000000000004</v>
      </c>
      <c r="AH55" s="527">
        <f>VLOOKUP($H55,'VA E VT - APOIO.LIMPEZA'!$F:AY,20,0)</f>
        <v>40.937079999999987</v>
      </c>
      <c r="AI55" s="527">
        <f>IF($J55="EFETIVO",VLOOKUP($K55,PARAMETROS!$E:BA,14,0),0)</f>
        <v>91.08</v>
      </c>
      <c r="AJ55" s="527">
        <f>IF($J55="EFETIVO",VLOOKUP($K55,PARAMETROS!$E:BB,15,0),0)</f>
        <v>17.03</v>
      </c>
      <c r="AK55" s="527"/>
      <c r="AL55" s="527"/>
      <c r="AM55" s="527"/>
      <c r="AN55" s="527"/>
      <c r="AO55" s="533">
        <f t="shared" si="10"/>
        <v>348.29308000000003</v>
      </c>
      <c r="AP55" s="527">
        <f>IF($J55="EFETIVO",VLOOKUP($K55,PARAMETROS!$E:BH,20,0),0)</f>
        <v>62.37</v>
      </c>
      <c r="AQ55" s="531"/>
      <c r="AR55" s="527">
        <f>IF($J55="EFETIVO",VLOOKUP($K55,PARAMETROS!$E:BJ,22,0),0)</f>
        <v>58.53</v>
      </c>
      <c r="AS55" s="531"/>
      <c r="AT55" s="533">
        <f t="shared" si="11"/>
        <v>120.9</v>
      </c>
      <c r="AU55" s="533">
        <f t="shared" si="12"/>
        <v>366.73530666666665</v>
      </c>
      <c r="AV55" s="533">
        <f t="shared" si="40"/>
        <v>4.89222</v>
      </c>
      <c r="AW55" s="533">
        <f t="shared" si="40"/>
        <v>13.589500000000001</v>
      </c>
      <c r="AX55" s="533">
        <f t="shared" si="40"/>
        <v>1.0871600000000001</v>
      </c>
      <c r="AY55" s="533">
        <f t="shared" si="39"/>
        <v>0.54358000000000006</v>
      </c>
      <c r="AZ55" s="533">
        <f t="shared" si="39"/>
        <v>9.5126500000000007</v>
      </c>
      <c r="BA55" s="533">
        <f t="shared" si="39"/>
        <v>3.5006552000000002</v>
      </c>
      <c r="BB55" s="533">
        <f t="shared" si="39"/>
        <v>4.6204299999999998</v>
      </c>
      <c r="BC55" s="533">
        <f t="shared" si="14"/>
        <v>32.85</v>
      </c>
      <c r="BD55" s="533">
        <f t="shared" si="15"/>
        <v>37.77881</v>
      </c>
      <c r="BE55" s="533">
        <f t="shared" si="15"/>
        <v>22.830359999999999</v>
      </c>
      <c r="BF55" s="533">
        <f t="shared" si="15"/>
        <v>8.9690700000000003</v>
      </c>
      <c r="BG55" s="533">
        <f t="shared" si="15"/>
        <v>0</v>
      </c>
      <c r="BH55" s="533">
        <f t="shared" si="15"/>
        <v>25.604792320000001</v>
      </c>
      <c r="BI55" s="533">
        <f t="shared" si="16"/>
        <v>95.18</v>
      </c>
      <c r="BJ55" s="533">
        <f t="shared" si="17"/>
        <v>499.65</v>
      </c>
      <c r="BK55" s="533">
        <f t="shared" si="18"/>
        <v>0</v>
      </c>
      <c r="BL55" s="533">
        <f t="shared" si="19"/>
        <v>0</v>
      </c>
      <c r="BM55" s="533">
        <f t="shared" si="20"/>
        <v>0</v>
      </c>
      <c r="BN55" s="533">
        <f t="shared" si="21"/>
        <v>0</v>
      </c>
      <c r="BO55" s="533">
        <f t="shared" si="22"/>
        <v>42.852223333333328</v>
      </c>
      <c r="BP55" s="533"/>
      <c r="BQ55" s="533">
        <f t="shared" si="23"/>
        <v>42.85</v>
      </c>
      <c r="BR55" s="533">
        <f t="shared" si="24"/>
        <v>542.5</v>
      </c>
      <c r="BS55" s="533">
        <f t="shared" si="25"/>
        <v>288.66000000000003</v>
      </c>
      <c r="BT55" s="533">
        <f t="shared" si="26"/>
        <v>346.26</v>
      </c>
      <c r="BU55" s="533">
        <f t="shared" si="27"/>
        <v>245.99087870133334</v>
      </c>
      <c r="BV55" s="533">
        <f t="shared" si="28"/>
        <v>4.0536099999999999</v>
      </c>
      <c r="BW55" s="533">
        <f t="shared" si="29"/>
        <v>250.04448870133334</v>
      </c>
      <c r="BX55" s="533">
        <f t="shared" si="30"/>
        <v>884.96448870133338</v>
      </c>
      <c r="BY55" s="533">
        <f t="shared" si="31"/>
        <v>2850.3709020346669</v>
      </c>
      <c r="BZ55" s="533">
        <f t="shared" si="32"/>
        <v>42.85</v>
      </c>
      <c r="CA55" s="533">
        <f t="shared" si="33"/>
        <v>2893.2209020346668</v>
      </c>
      <c r="CB55" s="534" t="s">
        <v>3927</v>
      </c>
    </row>
    <row r="56" spans="1:80" s="450" customFormat="1" ht="15.75" customHeight="1">
      <c r="A56" s="435">
        <v>1</v>
      </c>
      <c r="B56" s="435">
        <v>1</v>
      </c>
      <c r="C56" s="435" t="s">
        <v>3287</v>
      </c>
      <c r="D56" s="436">
        <f>VLOOKUP(C56,ISS!A:B,2,0)</f>
        <v>0.05</v>
      </c>
      <c r="E56" s="437">
        <f t="shared" si="8"/>
        <v>9.4600000000000004E-2</v>
      </c>
      <c r="F56" s="438">
        <v>38</v>
      </c>
      <c r="G56" s="439">
        <v>12378</v>
      </c>
      <c r="H56" s="440" t="s">
        <v>3973</v>
      </c>
      <c r="I56" s="435" t="s">
        <v>3850</v>
      </c>
      <c r="J56" s="102" t="s">
        <v>3521</v>
      </c>
      <c r="K56" s="435" t="str">
        <f t="shared" si="38"/>
        <v>Belo HorizonteVIGILANTE ARMADO - 12X36 NOTURNO</v>
      </c>
      <c r="L56" s="441" t="s">
        <v>3882</v>
      </c>
      <c r="M56" s="451"/>
      <c r="N56" s="102"/>
      <c r="O56" s="101"/>
      <c r="P56" s="101"/>
      <c r="Q56" s="442">
        <f>VLOOKUP('BANCO DADOS-CUSTO TOTAL'!$K56,PARAMETROS!$E:AX,3,0)</f>
        <v>1602.86</v>
      </c>
      <c r="R56" s="442">
        <f>VLOOKUP('BANCO DADOS-CUSTO TOTAL'!$K56,PARAMETROS!$E:AY,4,0)</f>
        <v>0</v>
      </c>
      <c r="S56" s="442">
        <f>VLOOKUP('BANCO DADOS-CUSTO TOTAL'!$K56,PARAMETROS!$E:AZ,5,0)</f>
        <v>480.85799999999995</v>
      </c>
      <c r="T56" s="442">
        <f>VLOOKUP('BANCO DADOS-CUSTO TOTAL'!$K56,PARAMETROS!$E:BA,6,0)</f>
        <v>411.06073272727275</v>
      </c>
      <c r="U56" s="442">
        <f>VLOOKUP('BANCO DADOS-CUSTO TOTAL'!$K56,PARAMETROS!$E:BB,7,0)</f>
        <v>0</v>
      </c>
      <c r="V56" s="442">
        <f>VLOOKUP('BANCO DADOS-CUSTO TOTAL'!$K56,PARAMETROS!$E:BC,8,0)</f>
        <v>0</v>
      </c>
      <c r="W56" s="442">
        <f>VLOOKUP('BANCO DADOS-CUSTO TOTAL'!$K56,PARAMETROS!$E:BD,9,0)</f>
        <v>175.76850162396693</v>
      </c>
      <c r="X56" s="442">
        <f>VLOOKUP('BANCO DADOS-CUSTO TOTAL'!$K56,PARAMETROS!$E:BE,10,0)</f>
        <v>47.357227272727279</v>
      </c>
      <c r="Y56" s="443">
        <f t="shared" si="9"/>
        <v>2717.9</v>
      </c>
      <c r="Z56" s="458"/>
      <c r="AA56" s="444">
        <v>30</v>
      </c>
      <c r="AB56" s="445">
        <f t="shared" si="34"/>
        <v>30</v>
      </c>
      <c r="AC56" s="446">
        <f t="shared" si="35"/>
        <v>2717.9</v>
      </c>
      <c r="AD56" s="447">
        <f t="shared" si="36"/>
        <v>2717.9</v>
      </c>
      <c r="AE56" s="447">
        <f t="shared" si="37"/>
        <v>2717.9</v>
      </c>
      <c r="AF56" s="443">
        <f>IF(J56="EFETIVO",VLOOKUP(K56,PARAMETROS!$E:AX,11,0),0)</f>
        <v>112.9</v>
      </c>
      <c r="AG56" s="443">
        <f>VLOOKUP(H56,'VA E VT - APOIO.LIMPEZA'!F:AX,14,0)</f>
        <v>223.06049999999999</v>
      </c>
      <c r="AH56" s="443">
        <f>VLOOKUP($H56,'VA E VT - APOIO.LIMPEZA'!$F:AY,20,0)</f>
        <v>100.6784</v>
      </c>
      <c r="AI56" s="443">
        <f>IF($J56="EFETIVO",VLOOKUP($K56,PARAMETROS!$E:BA,14,0),0)</f>
        <v>91.08</v>
      </c>
      <c r="AJ56" s="443">
        <f>IF($J56="EFETIVO",VLOOKUP($K56,PARAMETROS!$E:BB,15,0),0)</f>
        <v>17.03</v>
      </c>
      <c r="AK56" s="443"/>
      <c r="AL56" s="443"/>
      <c r="AM56" s="443"/>
      <c r="AN56" s="443"/>
      <c r="AO56" s="448">
        <f t="shared" si="10"/>
        <v>544.74890000000005</v>
      </c>
      <c r="AP56" s="443">
        <f>IF($J56="EFETIVO",VLOOKUP($K56,PARAMETROS!$E:BH,20,0),0)</f>
        <v>62.37</v>
      </c>
      <c r="AQ56" s="446"/>
      <c r="AR56" s="443">
        <f>IF($J56="EFETIVO",VLOOKUP($K56,PARAMETROS!$E:BJ,22,0),0)</f>
        <v>58.53</v>
      </c>
      <c r="AS56" s="446"/>
      <c r="AT56" s="448">
        <f t="shared" si="11"/>
        <v>120.9</v>
      </c>
      <c r="AU56" s="448">
        <f t="shared" si="12"/>
        <v>1000.1872</v>
      </c>
      <c r="AV56" s="448">
        <f t="shared" si="40"/>
        <v>4.89222</v>
      </c>
      <c r="AW56" s="448">
        <f t="shared" si="40"/>
        <v>13.589500000000001</v>
      </c>
      <c r="AX56" s="448">
        <f t="shared" si="40"/>
        <v>1.0871600000000001</v>
      </c>
      <c r="AY56" s="448">
        <f t="shared" si="39"/>
        <v>0.54358000000000006</v>
      </c>
      <c r="AZ56" s="448">
        <f t="shared" si="39"/>
        <v>9.5126500000000007</v>
      </c>
      <c r="BA56" s="448">
        <f t="shared" si="39"/>
        <v>3.5006552000000002</v>
      </c>
      <c r="BB56" s="448">
        <f t="shared" si="39"/>
        <v>4.6204299999999998</v>
      </c>
      <c r="BC56" s="448">
        <f t="shared" si="14"/>
        <v>32.85</v>
      </c>
      <c r="BD56" s="448">
        <f t="shared" si="15"/>
        <v>37.77881</v>
      </c>
      <c r="BE56" s="448">
        <f t="shared" si="15"/>
        <v>22.830359999999999</v>
      </c>
      <c r="BF56" s="448">
        <f t="shared" si="15"/>
        <v>8.9690700000000003</v>
      </c>
      <c r="BG56" s="448">
        <f t="shared" si="15"/>
        <v>0</v>
      </c>
      <c r="BH56" s="448">
        <f t="shared" si="15"/>
        <v>25.604792320000001</v>
      </c>
      <c r="BI56" s="448">
        <f t="shared" si="16"/>
        <v>95.18</v>
      </c>
      <c r="BJ56" s="448">
        <f t="shared" si="17"/>
        <v>1133.0999999999999</v>
      </c>
      <c r="BK56" s="448">
        <f t="shared" si="18"/>
        <v>226.40107</v>
      </c>
      <c r="BL56" s="448">
        <f t="shared" si="19"/>
        <v>301.95869000000005</v>
      </c>
      <c r="BM56" s="448">
        <f t="shared" si="20"/>
        <v>83.315593759999999</v>
      </c>
      <c r="BN56" s="448">
        <f t="shared" si="21"/>
        <v>111.12079792000002</v>
      </c>
      <c r="BO56" s="448">
        <f t="shared" si="22"/>
        <v>116.86969999999999</v>
      </c>
      <c r="BP56" s="448"/>
      <c r="BQ56" s="448">
        <f t="shared" si="23"/>
        <v>839.66</v>
      </c>
      <c r="BR56" s="448">
        <f t="shared" si="24"/>
        <v>1972.76</v>
      </c>
      <c r="BS56" s="448">
        <f t="shared" si="25"/>
        <v>288.66000000000003</v>
      </c>
      <c r="BT56" s="448">
        <f t="shared" si="26"/>
        <v>346.26</v>
      </c>
      <c r="BU56" s="448">
        <f t="shared" si="27"/>
        <v>487.33841794000006</v>
      </c>
      <c r="BV56" s="448">
        <f t="shared" si="28"/>
        <v>79.431836000000004</v>
      </c>
      <c r="BW56" s="448">
        <f t="shared" si="29"/>
        <v>566.77025394000009</v>
      </c>
      <c r="BX56" s="448">
        <f t="shared" si="30"/>
        <v>1201.6902539400003</v>
      </c>
      <c r="BY56" s="448">
        <f t="shared" si="31"/>
        <v>5718.33915394</v>
      </c>
      <c r="BZ56" s="448">
        <f t="shared" si="32"/>
        <v>839.66</v>
      </c>
      <c r="CA56" s="448">
        <f t="shared" si="33"/>
        <v>6557.9991539399998</v>
      </c>
      <c r="CB56" s="449"/>
    </row>
    <row r="57" spans="1:80" s="450" customFormat="1" ht="15.75" customHeight="1">
      <c r="A57" s="435">
        <v>1</v>
      </c>
      <c r="B57" s="435">
        <v>1</v>
      </c>
      <c r="C57" s="435" t="s">
        <v>3287</v>
      </c>
      <c r="D57" s="436">
        <f>VLOOKUP(C57,ISS!A:B,2,0)</f>
        <v>0.05</v>
      </c>
      <c r="E57" s="437">
        <f t="shared" si="8"/>
        <v>9.4600000000000004E-2</v>
      </c>
      <c r="F57" s="438">
        <v>39</v>
      </c>
      <c r="G57" s="439">
        <v>12379</v>
      </c>
      <c r="H57" s="440" t="s">
        <v>3974</v>
      </c>
      <c r="I57" s="435" t="s">
        <v>3850</v>
      </c>
      <c r="J57" s="102" t="s">
        <v>3521</v>
      </c>
      <c r="K57" s="435" t="str">
        <f t="shared" si="38"/>
        <v>Belo HorizonteVIGILANTE ARMADO - 12X36 NOTURNO</v>
      </c>
      <c r="L57" s="441" t="s">
        <v>3882</v>
      </c>
      <c r="M57" s="451"/>
      <c r="N57" s="102"/>
      <c r="O57" s="101"/>
      <c r="P57" s="101"/>
      <c r="Q57" s="442">
        <f>VLOOKUP('BANCO DADOS-CUSTO TOTAL'!$K57,PARAMETROS!$E:AX,3,0)</f>
        <v>1602.86</v>
      </c>
      <c r="R57" s="442">
        <f>VLOOKUP('BANCO DADOS-CUSTO TOTAL'!$K57,PARAMETROS!$E:AY,4,0)</f>
        <v>0</v>
      </c>
      <c r="S57" s="442">
        <f>VLOOKUP('BANCO DADOS-CUSTO TOTAL'!$K57,PARAMETROS!$E:AZ,5,0)</f>
        <v>480.85799999999995</v>
      </c>
      <c r="T57" s="442">
        <f>VLOOKUP('BANCO DADOS-CUSTO TOTAL'!$K57,PARAMETROS!$E:BA,6,0)</f>
        <v>411.06073272727275</v>
      </c>
      <c r="U57" s="442">
        <f>VLOOKUP('BANCO DADOS-CUSTO TOTAL'!$K57,PARAMETROS!$E:BB,7,0)</f>
        <v>0</v>
      </c>
      <c r="V57" s="442">
        <f>VLOOKUP('BANCO DADOS-CUSTO TOTAL'!$K57,PARAMETROS!$E:BC,8,0)</f>
        <v>0</v>
      </c>
      <c r="W57" s="442">
        <f>VLOOKUP('BANCO DADOS-CUSTO TOTAL'!$K57,PARAMETROS!$E:BD,9,0)</f>
        <v>175.76850162396693</v>
      </c>
      <c r="X57" s="442">
        <f>VLOOKUP('BANCO DADOS-CUSTO TOTAL'!$K57,PARAMETROS!$E:BE,10,0)</f>
        <v>47.357227272727279</v>
      </c>
      <c r="Y57" s="443">
        <f t="shared" si="9"/>
        <v>2717.9</v>
      </c>
      <c r="Z57" s="458"/>
      <c r="AA57" s="444">
        <v>30</v>
      </c>
      <c r="AB57" s="445">
        <f t="shared" si="34"/>
        <v>30</v>
      </c>
      <c r="AC57" s="446">
        <f t="shared" si="35"/>
        <v>2717.9</v>
      </c>
      <c r="AD57" s="447">
        <f t="shared" si="36"/>
        <v>2717.9</v>
      </c>
      <c r="AE57" s="447">
        <f t="shared" si="37"/>
        <v>2717.9</v>
      </c>
      <c r="AF57" s="443">
        <f>IF(J57="EFETIVO",VLOOKUP(K57,PARAMETROS!$E:AX,11,0),0)</f>
        <v>112.9</v>
      </c>
      <c r="AG57" s="443">
        <f>VLOOKUP(H57,'VA E VT - APOIO.LIMPEZA'!F:AX,14,0)</f>
        <v>223.06049999999999</v>
      </c>
      <c r="AH57" s="443">
        <f>VLOOKUP($H57,'VA E VT - APOIO.LIMPEZA'!$F:AY,20,0)</f>
        <v>100.6784</v>
      </c>
      <c r="AI57" s="443">
        <f>IF($J57="EFETIVO",VLOOKUP($K57,PARAMETROS!$E:BA,14,0),0)</f>
        <v>91.08</v>
      </c>
      <c r="AJ57" s="443">
        <f>IF($J57="EFETIVO",VLOOKUP($K57,PARAMETROS!$E:BB,15,0),0)</f>
        <v>17.03</v>
      </c>
      <c r="AK57" s="443"/>
      <c r="AL57" s="443"/>
      <c r="AM57" s="443"/>
      <c r="AN57" s="443"/>
      <c r="AO57" s="448">
        <f t="shared" si="10"/>
        <v>544.74890000000005</v>
      </c>
      <c r="AP57" s="443">
        <f>IF($J57="EFETIVO",VLOOKUP($K57,PARAMETROS!$E:BH,20,0),0)</f>
        <v>62.37</v>
      </c>
      <c r="AQ57" s="446"/>
      <c r="AR57" s="443">
        <f>IF($J57="EFETIVO",VLOOKUP($K57,PARAMETROS!$E:BJ,22,0),0)</f>
        <v>58.53</v>
      </c>
      <c r="AS57" s="446"/>
      <c r="AT57" s="448">
        <f t="shared" si="11"/>
        <v>120.9</v>
      </c>
      <c r="AU57" s="448">
        <f t="shared" si="12"/>
        <v>1000.1872</v>
      </c>
      <c r="AV57" s="448">
        <f t="shared" si="40"/>
        <v>4.89222</v>
      </c>
      <c r="AW57" s="448">
        <f t="shared" si="40"/>
        <v>13.589500000000001</v>
      </c>
      <c r="AX57" s="448">
        <f t="shared" si="40"/>
        <v>1.0871600000000001</v>
      </c>
      <c r="AY57" s="448">
        <f t="shared" si="39"/>
        <v>0.54358000000000006</v>
      </c>
      <c r="AZ57" s="448">
        <f t="shared" si="39"/>
        <v>9.5126500000000007</v>
      </c>
      <c r="BA57" s="448">
        <f t="shared" si="39"/>
        <v>3.5006552000000002</v>
      </c>
      <c r="BB57" s="448">
        <f t="shared" si="39"/>
        <v>4.6204299999999998</v>
      </c>
      <c r="BC57" s="448">
        <f t="shared" si="14"/>
        <v>32.85</v>
      </c>
      <c r="BD57" s="448">
        <f t="shared" si="15"/>
        <v>37.77881</v>
      </c>
      <c r="BE57" s="448">
        <f t="shared" si="15"/>
        <v>22.830359999999999</v>
      </c>
      <c r="BF57" s="448">
        <f t="shared" si="15"/>
        <v>8.9690700000000003</v>
      </c>
      <c r="BG57" s="448">
        <f t="shared" si="15"/>
        <v>0</v>
      </c>
      <c r="BH57" s="448">
        <f t="shared" si="15"/>
        <v>25.604792320000001</v>
      </c>
      <c r="BI57" s="448">
        <f t="shared" si="16"/>
        <v>95.18</v>
      </c>
      <c r="BJ57" s="448">
        <f t="shared" si="17"/>
        <v>1133.0999999999999</v>
      </c>
      <c r="BK57" s="448">
        <f t="shared" si="18"/>
        <v>226.40107</v>
      </c>
      <c r="BL57" s="448">
        <f t="shared" si="19"/>
        <v>301.95869000000005</v>
      </c>
      <c r="BM57" s="448">
        <f t="shared" si="20"/>
        <v>83.315593759999999</v>
      </c>
      <c r="BN57" s="448">
        <f t="shared" si="21"/>
        <v>111.12079792000002</v>
      </c>
      <c r="BO57" s="448">
        <f t="shared" si="22"/>
        <v>116.86969999999999</v>
      </c>
      <c r="BP57" s="448"/>
      <c r="BQ57" s="448">
        <f t="shared" si="23"/>
        <v>839.66</v>
      </c>
      <c r="BR57" s="448">
        <f t="shared" si="24"/>
        <v>1972.76</v>
      </c>
      <c r="BS57" s="448">
        <f t="shared" si="25"/>
        <v>288.66000000000003</v>
      </c>
      <c r="BT57" s="448">
        <f t="shared" si="26"/>
        <v>346.26</v>
      </c>
      <c r="BU57" s="448">
        <f t="shared" si="27"/>
        <v>487.33841794000006</v>
      </c>
      <c r="BV57" s="448">
        <f t="shared" si="28"/>
        <v>79.431836000000004</v>
      </c>
      <c r="BW57" s="448">
        <f t="shared" si="29"/>
        <v>566.77025394000009</v>
      </c>
      <c r="BX57" s="448">
        <f t="shared" si="30"/>
        <v>1201.6902539400003</v>
      </c>
      <c r="BY57" s="448">
        <f t="shared" si="31"/>
        <v>5718.33915394</v>
      </c>
      <c r="BZ57" s="448">
        <f t="shared" si="32"/>
        <v>839.66</v>
      </c>
      <c r="CA57" s="448">
        <f t="shared" si="33"/>
        <v>6557.9991539399998</v>
      </c>
      <c r="CB57" s="449"/>
    </row>
    <row r="58" spans="1:80" s="450" customFormat="1" ht="15.75" customHeight="1">
      <c r="A58" s="435">
        <v>1</v>
      </c>
      <c r="B58" s="435">
        <v>1</v>
      </c>
      <c r="C58" s="435" t="s">
        <v>3287</v>
      </c>
      <c r="D58" s="436">
        <f>VLOOKUP(C58,ISS!A:B,2,0)</f>
        <v>0.05</v>
      </c>
      <c r="E58" s="437">
        <f t="shared" si="8"/>
        <v>9.4600000000000004E-2</v>
      </c>
      <c r="F58" s="438">
        <v>40</v>
      </c>
      <c r="G58" s="439">
        <v>12380</v>
      </c>
      <c r="H58" s="440" t="s">
        <v>3975</v>
      </c>
      <c r="I58" s="435" t="s">
        <v>3850</v>
      </c>
      <c r="J58" s="102" t="s">
        <v>3521</v>
      </c>
      <c r="K58" s="435" t="str">
        <f t="shared" si="38"/>
        <v>Belo HorizonteVIGILANTE ARMADO - 12X36 NOTURNO</v>
      </c>
      <c r="L58" s="441" t="s">
        <v>3882</v>
      </c>
      <c r="M58" s="451"/>
      <c r="N58" s="102"/>
      <c r="O58" s="101"/>
      <c r="P58" s="101"/>
      <c r="Q58" s="442">
        <f>VLOOKUP('BANCO DADOS-CUSTO TOTAL'!$K58,PARAMETROS!$E:AX,3,0)</f>
        <v>1602.86</v>
      </c>
      <c r="R58" s="442">
        <f>VLOOKUP('BANCO DADOS-CUSTO TOTAL'!$K58,PARAMETROS!$E:AY,4,0)</f>
        <v>0</v>
      </c>
      <c r="S58" s="442">
        <f>VLOOKUP('BANCO DADOS-CUSTO TOTAL'!$K58,PARAMETROS!$E:AZ,5,0)</f>
        <v>480.85799999999995</v>
      </c>
      <c r="T58" s="442">
        <f>VLOOKUP('BANCO DADOS-CUSTO TOTAL'!$K58,PARAMETROS!$E:BA,6,0)</f>
        <v>411.06073272727275</v>
      </c>
      <c r="U58" s="442">
        <f>VLOOKUP('BANCO DADOS-CUSTO TOTAL'!$K58,PARAMETROS!$E:BB,7,0)</f>
        <v>0</v>
      </c>
      <c r="V58" s="442">
        <f>VLOOKUP('BANCO DADOS-CUSTO TOTAL'!$K58,PARAMETROS!$E:BC,8,0)</f>
        <v>0</v>
      </c>
      <c r="W58" s="442">
        <f>VLOOKUP('BANCO DADOS-CUSTO TOTAL'!$K58,PARAMETROS!$E:BD,9,0)</f>
        <v>175.76850162396693</v>
      </c>
      <c r="X58" s="442">
        <f>VLOOKUP('BANCO DADOS-CUSTO TOTAL'!$K58,PARAMETROS!$E:BE,10,0)</f>
        <v>47.357227272727279</v>
      </c>
      <c r="Y58" s="443">
        <f t="shared" si="9"/>
        <v>2717.9</v>
      </c>
      <c r="Z58" s="458"/>
      <c r="AA58" s="444">
        <v>30</v>
      </c>
      <c r="AB58" s="445">
        <f t="shared" si="34"/>
        <v>30</v>
      </c>
      <c r="AC58" s="446">
        <f t="shared" si="35"/>
        <v>2717.9</v>
      </c>
      <c r="AD58" s="447">
        <f t="shared" si="36"/>
        <v>2717.9</v>
      </c>
      <c r="AE58" s="447">
        <f t="shared" si="37"/>
        <v>2717.9</v>
      </c>
      <c r="AF58" s="443">
        <f>IF(J58="EFETIVO",VLOOKUP(K58,PARAMETROS!$E:AX,11,0),0)</f>
        <v>112.9</v>
      </c>
      <c r="AG58" s="443">
        <f>VLOOKUP(H58,'VA E VT - APOIO.LIMPEZA'!F:AX,14,0)</f>
        <v>223.06049999999999</v>
      </c>
      <c r="AH58" s="443">
        <f>VLOOKUP($H58,'VA E VT - APOIO.LIMPEZA'!$F:AY,20,0)</f>
        <v>100.6784</v>
      </c>
      <c r="AI58" s="443">
        <f>IF($J58="EFETIVO",VLOOKUP($K58,PARAMETROS!$E:BA,14,0),0)</f>
        <v>91.08</v>
      </c>
      <c r="AJ58" s="443">
        <f>IF($J58="EFETIVO",VLOOKUP($K58,PARAMETROS!$E:BB,15,0),0)</f>
        <v>17.03</v>
      </c>
      <c r="AK58" s="443"/>
      <c r="AL58" s="443"/>
      <c r="AM58" s="443"/>
      <c r="AN58" s="443"/>
      <c r="AO58" s="448">
        <f t="shared" si="10"/>
        <v>544.74890000000005</v>
      </c>
      <c r="AP58" s="443">
        <f>IF($J58="EFETIVO",VLOOKUP($K58,PARAMETROS!$E:BH,20,0),0)</f>
        <v>62.37</v>
      </c>
      <c r="AQ58" s="446"/>
      <c r="AR58" s="443">
        <f>IF($J58="EFETIVO",VLOOKUP($K58,PARAMETROS!$E:BJ,22,0),0)</f>
        <v>58.53</v>
      </c>
      <c r="AS58" s="446"/>
      <c r="AT58" s="448">
        <f t="shared" si="11"/>
        <v>120.9</v>
      </c>
      <c r="AU58" s="448">
        <f t="shared" si="12"/>
        <v>1000.1872</v>
      </c>
      <c r="AV58" s="448">
        <f t="shared" si="40"/>
        <v>4.89222</v>
      </c>
      <c r="AW58" s="448">
        <f t="shared" si="40"/>
        <v>13.589500000000001</v>
      </c>
      <c r="AX58" s="448">
        <f t="shared" si="40"/>
        <v>1.0871600000000001</v>
      </c>
      <c r="AY58" s="448">
        <f t="shared" si="39"/>
        <v>0.54358000000000006</v>
      </c>
      <c r="AZ58" s="448">
        <f t="shared" si="39"/>
        <v>9.5126500000000007</v>
      </c>
      <c r="BA58" s="448">
        <f t="shared" si="39"/>
        <v>3.5006552000000002</v>
      </c>
      <c r="BB58" s="448">
        <f t="shared" si="39"/>
        <v>4.6204299999999998</v>
      </c>
      <c r="BC58" s="448">
        <f t="shared" si="14"/>
        <v>32.85</v>
      </c>
      <c r="BD58" s="448">
        <f t="shared" si="15"/>
        <v>37.77881</v>
      </c>
      <c r="BE58" s="448">
        <f t="shared" si="15"/>
        <v>22.830359999999999</v>
      </c>
      <c r="BF58" s="448">
        <f t="shared" si="15"/>
        <v>8.9690700000000003</v>
      </c>
      <c r="BG58" s="448">
        <f t="shared" si="15"/>
        <v>0</v>
      </c>
      <c r="BH58" s="448">
        <f t="shared" si="15"/>
        <v>25.604792320000001</v>
      </c>
      <c r="BI58" s="448">
        <f t="shared" si="16"/>
        <v>95.18</v>
      </c>
      <c r="BJ58" s="448">
        <f t="shared" si="17"/>
        <v>1133.0999999999999</v>
      </c>
      <c r="BK58" s="448">
        <f t="shared" si="18"/>
        <v>226.40107</v>
      </c>
      <c r="BL58" s="448">
        <f t="shared" si="19"/>
        <v>301.95869000000005</v>
      </c>
      <c r="BM58" s="448">
        <f t="shared" si="20"/>
        <v>83.315593759999999</v>
      </c>
      <c r="BN58" s="448">
        <f t="shared" si="21"/>
        <v>111.12079792000002</v>
      </c>
      <c r="BO58" s="448">
        <f t="shared" si="22"/>
        <v>116.86969999999999</v>
      </c>
      <c r="BP58" s="448"/>
      <c r="BQ58" s="448">
        <f t="shared" si="23"/>
        <v>839.66</v>
      </c>
      <c r="BR58" s="448">
        <f t="shared" si="24"/>
        <v>1972.76</v>
      </c>
      <c r="BS58" s="448">
        <f t="shared" si="25"/>
        <v>288.66000000000003</v>
      </c>
      <c r="BT58" s="448">
        <f t="shared" si="26"/>
        <v>346.26</v>
      </c>
      <c r="BU58" s="448">
        <f t="shared" si="27"/>
        <v>487.33841794000006</v>
      </c>
      <c r="BV58" s="448">
        <f t="shared" si="28"/>
        <v>79.431836000000004</v>
      </c>
      <c r="BW58" s="448">
        <f t="shared" si="29"/>
        <v>566.77025394000009</v>
      </c>
      <c r="BX58" s="448">
        <f t="shared" si="30"/>
        <v>1201.6902539400003</v>
      </c>
      <c r="BY58" s="448">
        <f t="shared" si="31"/>
        <v>5718.33915394</v>
      </c>
      <c r="BZ58" s="448">
        <f t="shared" si="32"/>
        <v>839.66</v>
      </c>
      <c r="CA58" s="448">
        <f t="shared" si="33"/>
        <v>6557.9991539399998</v>
      </c>
      <c r="CB58" s="449"/>
    </row>
    <row r="59" spans="1:80" s="450" customFormat="1" ht="15.75" customHeight="1">
      <c r="A59" s="435">
        <v>1</v>
      </c>
      <c r="B59" s="435">
        <v>1</v>
      </c>
      <c r="C59" s="435" t="s">
        <v>3287</v>
      </c>
      <c r="D59" s="436">
        <f>VLOOKUP(C59,ISS!A:B,2,0)</f>
        <v>0.05</v>
      </c>
      <c r="E59" s="437">
        <f t="shared" si="8"/>
        <v>9.4600000000000004E-2</v>
      </c>
      <c r="F59" s="438">
        <v>41</v>
      </c>
      <c r="G59" s="439">
        <v>12381</v>
      </c>
      <c r="H59" s="440" t="s">
        <v>3976</v>
      </c>
      <c r="I59" s="435" t="s">
        <v>3850</v>
      </c>
      <c r="J59" s="102" t="s">
        <v>3521</v>
      </c>
      <c r="K59" s="435" t="str">
        <f t="shared" si="38"/>
        <v>Belo HorizonteVIGILANTE ARMADO - 12X36 NOTURNO</v>
      </c>
      <c r="L59" s="441" t="s">
        <v>3882</v>
      </c>
      <c r="M59" s="451"/>
      <c r="N59" s="102"/>
      <c r="O59" s="101"/>
      <c r="P59" s="101"/>
      <c r="Q59" s="442">
        <f>VLOOKUP('BANCO DADOS-CUSTO TOTAL'!$K59,PARAMETROS!$E:AX,3,0)</f>
        <v>1602.86</v>
      </c>
      <c r="R59" s="442">
        <f>VLOOKUP('BANCO DADOS-CUSTO TOTAL'!$K59,PARAMETROS!$E:AY,4,0)</f>
        <v>0</v>
      </c>
      <c r="S59" s="442">
        <f>VLOOKUP('BANCO DADOS-CUSTO TOTAL'!$K59,PARAMETROS!$E:AZ,5,0)</f>
        <v>480.85799999999995</v>
      </c>
      <c r="T59" s="442">
        <f>VLOOKUP('BANCO DADOS-CUSTO TOTAL'!$K59,PARAMETROS!$E:BA,6,0)</f>
        <v>411.06073272727275</v>
      </c>
      <c r="U59" s="442">
        <f>VLOOKUP('BANCO DADOS-CUSTO TOTAL'!$K59,PARAMETROS!$E:BB,7,0)</f>
        <v>0</v>
      </c>
      <c r="V59" s="442">
        <f>VLOOKUP('BANCO DADOS-CUSTO TOTAL'!$K59,PARAMETROS!$E:BC,8,0)</f>
        <v>0</v>
      </c>
      <c r="W59" s="442">
        <f>VLOOKUP('BANCO DADOS-CUSTO TOTAL'!$K59,PARAMETROS!$E:BD,9,0)</f>
        <v>175.76850162396693</v>
      </c>
      <c r="X59" s="442">
        <f>VLOOKUP('BANCO DADOS-CUSTO TOTAL'!$K59,PARAMETROS!$E:BE,10,0)</f>
        <v>47.357227272727279</v>
      </c>
      <c r="Y59" s="443">
        <f t="shared" si="9"/>
        <v>2717.9</v>
      </c>
      <c r="Z59" s="458"/>
      <c r="AA59" s="444">
        <v>30</v>
      </c>
      <c r="AB59" s="445">
        <f t="shared" si="34"/>
        <v>30</v>
      </c>
      <c r="AC59" s="446">
        <f t="shared" si="35"/>
        <v>2717.9</v>
      </c>
      <c r="AD59" s="447">
        <f t="shared" si="36"/>
        <v>2717.9</v>
      </c>
      <c r="AE59" s="447">
        <f t="shared" si="37"/>
        <v>2717.9</v>
      </c>
      <c r="AF59" s="443">
        <f>IF(J59="EFETIVO",VLOOKUP(K59,PARAMETROS!$E:AX,11,0),0)</f>
        <v>112.9</v>
      </c>
      <c r="AG59" s="443">
        <f>VLOOKUP(H59,'VA E VT - APOIO.LIMPEZA'!F:AX,14,0)</f>
        <v>223.06049999999999</v>
      </c>
      <c r="AH59" s="443">
        <f>VLOOKUP($H59,'VA E VT - APOIO.LIMPEZA'!$F:AY,20,0)</f>
        <v>100.6784</v>
      </c>
      <c r="AI59" s="443">
        <f>IF($J59="EFETIVO",VLOOKUP($K59,PARAMETROS!$E:BA,14,0),0)</f>
        <v>91.08</v>
      </c>
      <c r="AJ59" s="443">
        <f>IF($J59="EFETIVO",VLOOKUP($K59,PARAMETROS!$E:BB,15,0),0)</f>
        <v>17.03</v>
      </c>
      <c r="AK59" s="443"/>
      <c r="AL59" s="443"/>
      <c r="AM59" s="443"/>
      <c r="AN59" s="443"/>
      <c r="AO59" s="448">
        <f t="shared" si="10"/>
        <v>544.74890000000005</v>
      </c>
      <c r="AP59" s="443">
        <f>IF($J59="EFETIVO",VLOOKUP($K59,PARAMETROS!$E:BH,20,0),0)</f>
        <v>62.37</v>
      </c>
      <c r="AQ59" s="446"/>
      <c r="AR59" s="443">
        <f>IF($J59="EFETIVO",VLOOKUP($K59,PARAMETROS!$E:BJ,22,0),0)</f>
        <v>58.53</v>
      </c>
      <c r="AS59" s="446"/>
      <c r="AT59" s="448">
        <f t="shared" si="11"/>
        <v>120.9</v>
      </c>
      <c r="AU59" s="448">
        <f t="shared" si="12"/>
        <v>1000.1872</v>
      </c>
      <c r="AV59" s="448">
        <f t="shared" si="40"/>
        <v>4.89222</v>
      </c>
      <c r="AW59" s="448">
        <f t="shared" si="40"/>
        <v>13.589500000000001</v>
      </c>
      <c r="AX59" s="448">
        <f t="shared" si="40"/>
        <v>1.0871600000000001</v>
      </c>
      <c r="AY59" s="448">
        <f t="shared" si="39"/>
        <v>0.54358000000000006</v>
      </c>
      <c r="AZ59" s="448">
        <f t="shared" si="39"/>
        <v>9.5126500000000007</v>
      </c>
      <c r="BA59" s="448">
        <f t="shared" si="39"/>
        <v>3.5006552000000002</v>
      </c>
      <c r="BB59" s="448">
        <f t="shared" si="39"/>
        <v>4.6204299999999998</v>
      </c>
      <c r="BC59" s="448">
        <f t="shared" si="14"/>
        <v>32.85</v>
      </c>
      <c r="BD59" s="448">
        <f t="shared" si="15"/>
        <v>37.77881</v>
      </c>
      <c r="BE59" s="448">
        <f t="shared" si="15"/>
        <v>22.830359999999999</v>
      </c>
      <c r="BF59" s="448">
        <f t="shared" si="15"/>
        <v>8.9690700000000003</v>
      </c>
      <c r="BG59" s="448">
        <f t="shared" si="15"/>
        <v>0</v>
      </c>
      <c r="BH59" s="448">
        <f t="shared" si="15"/>
        <v>25.604792320000001</v>
      </c>
      <c r="BI59" s="448">
        <f t="shared" si="16"/>
        <v>95.18</v>
      </c>
      <c r="BJ59" s="448">
        <f t="shared" si="17"/>
        <v>1133.0999999999999</v>
      </c>
      <c r="BK59" s="448">
        <f t="shared" si="18"/>
        <v>226.40107</v>
      </c>
      <c r="BL59" s="448">
        <f t="shared" si="19"/>
        <v>301.95869000000005</v>
      </c>
      <c r="BM59" s="448">
        <f t="shared" si="20"/>
        <v>83.315593759999999</v>
      </c>
      <c r="BN59" s="448">
        <f t="shared" si="21"/>
        <v>111.12079792000002</v>
      </c>
      <c r="BO59" s="448">
        <f t="shared" si="22"/>
        <v>116.86969999999999</v>
      </c>
      <c r="BP59" s="448"/>
      <c r="BQ59" s="448">
        <f t="shared" si="23"/>
        <v>839.66</v>
      </c>
      <c r="BR59" s="448">
        <f t="shared" si="24"/>
        <v>1972.76</v>
      </c>
      <c r="BS59" s="448">
        <f t="shared" si="25"/>
        <v>288.66000000000003</v>
      </c>
      <c r="BT59" s="448">
        <f t="shared" si="26"/>
        <v>346.26</v>
      </c>
      <c r="BU59" s="448">
        <f t="shared" si="27"/>
        <v>487.33841794000006</v>
      </c>
      <c r="BV59" s="448">
        <f t="shared" si="28"/>
        <v>79.431836000000004</v>
      </c>
      <c r="BW59" s="448">
        <f t="shared" si="29"/>
        <v>566.77025394000009</v>
      </c>
      <c r="BX59" s="448">
        <f t="shared" si="30"/>
        <v>1201.6902539400003</v>
      </c>
      <c r="BY59" s="448">
        <f t="shared" si="31"/>
        <v>5718.33915394</v>
      </c>
      <c r="BZ59" s="448">
        <f t="shared" si="32"/>
        <v>839.66</v>
      </c>
      <c r="CA59" s="448">
        <f t="shared" si="33"/>
        <v>6557.9991539399998</v>
      </c>
      <c r="CB59" s="449"/>
    </row>
    <row r="60" spans="1:80" s="480" customFormat="1" ht="15.75" customHeight="1">
      <c r="A60" s="462"/>
      <c r="B60" s="462"/>
      <c r="C60" s="462" t="s">
        <v>3885</v>
      </c>
      <c r="D60" s="463"/>
      <c r="E60" s="464"/>
      <c r="F60" s="465"/>
      <c r="G60" s="466"/>
      <c r="H60" s="467"/>
      <c r="I60" s="462"/>
      <c r="J60" s="468"/>
      <c r="K60" s="462"/>
      <c r="L60" s="469"/>
      <c r="M60" s="469"/>
      <c r="N60" s="468"/>
      <c r="O60" s="468"/>
      <c r="P60" s="468"/>
      <c r="Q60" s="470"/>
      <c r="R60" s="470"/>
      <c r="S60" s="470"/>
      <c r="T60" s="470"/>
      <c r="U60" s="470"/>
      <c r="V60" s="470"/>
      <c r="W60" s="470"/>
      <c r="X60" s="470"/>
      <c r="Y60" s="471"/>
      <c r="Z60" s="472"/>
      <c r="AA60" s="473"/>
      <c r="AB60" s="474"/>
      <c r="AC60" s="475"/>
      <c r="AD60" s="476"/>
      <c r="AE60" s="470"/>
      <c r="AF60" s="477">
        <f t="shared" ref="AF60:BX60" si="41">SUBTOTAL(9,AF17:AF59)</f>
        <v>4403.1000000000013</v>
      </c>
      <c r="AG60" s="477">
        <f t="shared" si="41"/>
        <v>8821.6829999999918</v>
      </c>
      <c r="AH60" s="477">
        <f t="shared" si="41"/>
        <v>4316.510959999996</v>
      </c>
      <c r="AI60" s="477">
        <f t="shared" si="41"/>
        <v>3552.1199999999985</v>
      </c>
      <c r="AJ60" s="477">
        <f t="shared" si="41"/>
        <v>664.16999999999939</v>
      </c>
      <c r="AK60" s="477">
        <f t="shared" si="41"/>
        <v>0</v>
      </c>
      <c r="AL60" s="477">
        <f t="shared" si="41"/>
        <v>0</v>
      </c>
      <c r="AM60" s="477">
        <f t="shared" si="41"/>
        <v>0</v>
      </c>
      <c r="AN60" s="477">
        <f t="shared" si="41"/>
        <v>0</v>
      </c>
      <c r="AO60" s="477">
        <f t="shared" si="41"/>
        <v>21757.583959999996</v>
      </c>
      <c r="AP60" s="477">
        <f t="shared" si="41"/>
        <v>2432.4299999999976</v>
      </c>
      <c r="AQ60" s="477">
        <f t="shared" si="41"/>
        <v>0</v>
      </c>
      <c r="AR60" s="477">
        <f t="shared" si="41"/>
        <v>2282.67</v>
      </c>
      <c r="AS60" s="477">
        <f t="shared" si="41"/>
        <v>0</v>
      </c>
      <c r="AT60" s="477">
        <f t="shared" si="41"/>
        <v>4715.1000000000004</v>
      </c>
      <c r="AU60" s="477">
        <f t="shared" si="41"/>
        <v>34770.94</v>
      </c>
      <c r="AV60" s="477">
        <f t="shared" si="41"/>
        <v>173.43766800000003</v>
      </c>
      <c r="AW60" s="477">
        <f t="shared" si="41"/>
        <v>481.77129999999971</v>
      </c>
      <c r="AX60" s="477">
        <f t="shared" si="41"/>
        <v>38.541703999999996</v>
      </c>
      <c r="AY60" s="477">
        <f t="shared" si="41"/>
        <v>19.270851999999998</v>
      </c>
      <c r="AZ60" s="477">
        <f t="shared" si="41"/>
        <v>337.23991000000007</v>
      </c>
      <c r="BA60" s="477">
        <f t="shared" si="41"/>
        <v>124.10428687999996</v>
      </c>
      <c r="BB60" s="477">
        <f t="shared" si="41"/>
        <v>163.80224199999998</v>
      </c>
      <c r="BC60" s="477">
        <f t="shared" si="41"/>
        <v>1164.5499999999995</v>
      </c>
      <c r="BD60" s="477">
        <f t="shared" si="41"/>
        <v>1339.3242140000007</v>
      </c>
      <c r="BE60" s="477">
        <f t="shared" si="41"/>
        <v>809.37578400000029</v>
      </c>
      <c r="BF60" s="477">
        <f t="shared" si="41"/>
        <v>317.96905799999973</v>
      </c>
      <c r="BG60" s="477">
        <f t="shared" si="41"/>
        <v>0</v>
      </c>
      <c r="BH60" s="477">
        <f t="shared" si="41"/>
        <v>907.73421260799989</v>
      </c>
      <c r="BI60" s="477">
        <f t="shared" si="41"/>
        <v>3374.2799999999979</v>
      </c>
      <c r="BJ60" s="477">
        <f t="shared" si="41"/>
        <v>39483.00999999998</v>
      </c>
      <c r="BK60" s="477">
        <f t="shared" si="41"/>
        <v>7573.5077179999998</v>
      </c>
      <c r="BL60" s="477">
        <f t="shared" si="41"/>
        <v>10402.999596</v>
      </c>
      <c r="BM60" s="477">
        <f t="shared" si="41"/>
        <v>2787.0508402240002</v>
      </c>
      <c r="BN60" s="477">
        <f t="shared" si="41"/>
        <v>3828.3038513279971</v>
      </c>
      <c r="BO60" s="477">
        <f t="shared" si="41"/>
        <v>4062.0003900876131</v>
      </c>
      <c r="BP60" s="477">
        <f t="shared" si="41"/>
        <v>0</v>
      </c>
      <c r="BQ60" s="477">
        <f t="shared" si="41"/>
        <v>28653.62999999999</v>
      </c>
      <c r="BR60" s="477">
        <f t="shared" si="41"/>
        <v>68136.640000000029</v>
      </c>
      <c r="BS60" s="477">
        <f t="shared" si="41"/>
        <v>11257.739999999996</v>
      </c>
      <c r="BT60" s="477">
        <f t="shared" si="41"/>
        <v>13504.140000000007</v>
      </c>
      <c r="BU60" s="477">
        <f t="shared" si="41"/>
        <v>17520.281746616001</v>
      </c>
      <c r="BV60" s="477">
        <f t="shared" si="41"/>
        <v>2710.6333980000022</v>
      </c>
      <c r="BW60" s="477">
        <f t="shared" si="41"/>
        <v>20230.915144616014</v>
      </c>
      <c r="BX60" s="477">
        <f t="shared" si="41"/>
        <v>44992.79514461603</v>
      </c>
      <c r="BY60" s="477">
        <f>SUBTOTAL(9,BY17:BY59)</f>
        <v>205434.73910461599</v>
      </c>
      <c r="BZ60" s="477">
        <f>SUBTOTAL(9,BZ17:BZ59)</f>
        <v>28653.62999999999</v>
      </c>
      <c r="CA60" s="477">
        <f>SUBTOTAL(9,CA17:CA59)</f>
        <v>234088.36910461602</v>
      </c>
      <c r="CB60" s="585"/>
    </row>
    <row r="61" spans="1:80" s="450" customFormat="1" ht="15.75" customHeight="1">
      <c r="A61" s="435">
        <v>1</v>
      </c>
      <c r="B61" s="435">
        <v>1</v>
      </c>
      <c r="C61" s="435" t="s">
        <v>3246</v>
      </c>
      <c r="D61" s="436">
        <f>VLOOKUP(C61,ISS!A:B,2,0)</f>
        <v>2.5000000000000001E-2</v>
      </c>
      <c r="E61" s="437">
        <f>IF(D61=2%,5.99%,IF(D61=2.5%,6.55%,IF(D61=3%,7.12%,IF(D61=3.5%,7.7%,IF(D61=4%,8.28%,IF(D61=5%,9.46%))))))</f>
        <v>6.5500000000000003E-2</v>
      </c>
      <c r="F61" s="438">
        <v>43</v>
      </c>
      <c r="G61" s="439">
        <v>12383</v>
      </c>
      <c r="H61" s="440" t="s">
        <v>3977</v>
      </c>
      <c r="I61" s="435" t="s">
        <v>3848</v>
      </c>
      <c r="J61" s="102" t="s">
        <v>3521</v>
      </c>
      <c r="K61" s="435" t="str">
        <f t="shared" si="38"/>
        <v>BetimVIGILANTE ARMADO - 12X36 DIURNO</v>
      </c>
      <c r="L61" s="441" t="s">
        <v>3875</v>
      </c>
      <c r="M61" s="441"/>
      <c r="N61" s="102"/>
      <c r="O61" s="102"/>
      <c r="P61" s="102"/>
      <c r="Q61" s="442">
        <f>VLOOKUP('BANCO DADOS-CUSTO TOTAL'!$K61,PARAMETROS!$E:AX,3,0)</f>
        <v>1602.86</v>
      </c>
      <c r="R61" s="442">
        <f>VLOOKUP('BANCO DADOS-CUSTO TOTAL'!$K61,PARAMETROS!$E:AY,4,0)</f>
        <v>0</v>
      </c>
      <c r="S61" s="442">
        <f>VLOOKUP('BANCO DADOS-CUSTO TOTAL'!$K61,PARAMETROS!$E:AZ,5,0)</f>
        <v>480.85799999999995</v>
      </c>
      <c r="T61" s="442">
        <f>VLOOKUP('BANCO DADOS-CUSTO TOTAL'!$K61,PARAMETROS!$E:BA,6,0)</f>
        <v>0</v>
      </c>
      <c r="U61" s="442">
        <f>VLOOKUP('BANCO DADOS-CUSTO TOTAL'!$K61,PARAMETROS!$E:BB,7,0)</f>
        <v>0</v>
      </c>
      <c r="V61" s="442">
        <f>VLOOKUP('BANCO DADOS-CUSTO TOTAL'!$K61,PARAMETROS!$E:BC,8,0)</f>
        <v>0</v>
      </c>
      <c r="W61" s="442">
        <f>VLOOKUP('BANCO DADOS-CUSTO TOTAL'!$K61,PARAMETROS!$E:BD,9,0)</f>
        <v>146.80740454545455</v>
      </c>
      <c r="X61" s="442">
        <f>VLOOKUP('BANCO DADOS-CUSTO TOTAL'!$K61,PARAMETROS!$E:BE,10,0)</f>
        <v>47.357227272727279</v>
      </c>
      <c r="Y61" s="443">
        <f t="shared" ref="Y61:Y62" si="42">TRUNC(SUM(Q61:X61),2)</f>
        <v>2277.88</v>
      </c>
      <c r="Z61" s="456"/>
      <c r="AA61" s="444">
        <v>30</v>
      </c>
      <c r="AB61" s="445">
        <f>IF(J61="EFETIVO",IF(AND(L61="",M61=""),$M$5,IF(AND(L61&lt;&gt;"",M61&lt;&gt;"",MONTH(L61)=MONTH(M61),YEAR(L61)=YEAR(M61)),M61-L61+1,IF(AND(L61&lt;&gt;"",M61&lt;&gt;"",MONTH(L61)&lt;&gt;MONTH(M61)),DAY(M61),IF(AND(L61="",M61&lt;&gt;"",MONTH($H$5)=MONTH(M61),YEAR(M61)=YEAR($H$5)),M61-$K$5+1,IF(AND(L61&lt;&gt;"",M61="",MONTH($K$5)=MONTH(L61),YEAR($K$5)=YEAR(L61)),30-DAY(L61)+1,$M$5))))),0)</f>
        <v>30</v>
      </c>
      <c r="AC61" s="446">
        <f>(Y61/30)*(AA61-Z61)</f>
        <v>2277.88</v>
      </c>
      <c r="AD61" s="447">
        <f>Y61</f>
        <v>2277.88</v>
      </c>
      <c r="AE61" s="447">
        <f>IF(AND(J61="EFETIVO",N61="FÉRIAS"),AD61,IF(J61="EFETIVO",AC61,0))</f>
        <v>2277.88</v>
      </c>
      <c r="AF61" s="443">
        <f>IF(J61="EFETIVO",VLOOKUP(K61,PARAMETROS!$E:AX,11,0),0)</f>
        <v>112.9</v>
      </c>
      <c r="AG61" s="443">
        <f>VLOOKUP(H61,'VA E VT - APOIO.LIMPEZA'!F:AX,14,0)</f>
        <v>223.06049999999999</v>
      </c>
      <c r="AH61" s="443">
        <f>VLOOKUP($H61,'VA E VT - APOIO.LIMPEZA'!$F:AY,20,0)</f>
        <v>18.528400000000005</v>
      </c>
      <c r="AI61" s="443">
        <f>IF($J61="EFETIVO",VLOOKUP($K61,PARAMETROS!$E:BA,14,0),0)</f>
        <v>91.08</v>
      </c>
      <c r="AJ61" s="443">
        <f>IF($J61="EFETIVO",VLOOKUP($K61,PARAMETROS!$E:BB,15,0),0)</f>
        <v>17.03</v>
      </c>
      <c r="AK61" s="443"/>
      <c r="AL61" s="443"/>
      <c r="AM61" s="443"/>
      <c r="AN61" s="443"/>
      <c r="AO61" s="448">
        <f t="shared" ref="AO61:AO62" si="43">SUM(AF61:AN61)</f>
        <v>462.59890000000007</v>
      </c>
      <c r="AP61" s="443">
        <f>IF($J61="EFETIVO",VLOOKUP($K61,PARAMETROS!$E:BH,20,0),0)</f>
        <v>62.37</v>
      </c>
      <c r="AQ61" s="446"/>
      <c r="AR61" s="443">
        <f>IF($J61="EFETIVO",VLOOKUP($K61,PARAMETROS!$E:BJ,22,0),0)</f>
        <v>58.53</v>
      </c>
      <c r="AS61" s="446"/>
      <c r="AT61" s="448">
        <f t="shared" ref="AT61:AT62" si="44">(AP61+AQ61+AR61+AS61)</f>
        <v>120.9</v>
      </c>
      <c r="AU61" s="448">
        <f>$AU$10*AC61</f>
        <v>838.25984000000005</v>
      </c>
      <c r="AV61" s="448">
        <f t="shared" si="40"/>
        <v>4.1001840000000005</v>
      </c>
      <c r="AW61" s="448">
        <f t="shared" si="40"/>
        <v>11.3894</v>
      </c>
      <c r="AX61" s="448">
        <f t="shared" si="40"/>
        <v>0.91115200000000007</v>
      </c>
      <c r="AY61" s="448">
        <f t="shared" si="39"/>
        <v>0.45557600000000004</v>
      </c>
      <c r="AZ61" s="448">
        <f t="shared" si="39"/>
        <v>7.9725800000000007</v>
      </c>
      <c r="BA61" s="448">
        <f t="shared" si="39"/>
        <v>2.9339094400000003</v>
      </c>
      <c r="BB61" s="448">
        <f t="shared" si="39"/>
        <v>3.8723960000000002</v>
      </c>
      <c r="BC61" s="448">
        <f t="shared" ref="BC61:BC62" si="45">TRUNC(SUM(AW61:BB61),2)</f>
        <v>27.53</v>
      </c>
      <c r="BD61" s="448">
        <f t="shared" si="15"/>
        <v>31.662531999999999</v>
      </c>
      <c r="BE61" s="448">
        <f t="shared" si="15"/>
        <v>19.134191999999999</v>
      </c>
      <c r="BF61" s="448">
        <f t="shared" si="15"/>
        <v>7.517004</v>
      </c>
      <c r="BG61" s="448">
        <f t="shared" si="15"/>
        <v>0</v>
      </c>
      <c r="BH61" s="448">
        <f t="shared" si="15"/>
        <v>21.459451904000002</v>
      </c>
      <c r="BI61" s="448">
        <f t="shared" ref="BI61:BI62" si="46">TRUNC(SUM(BD61:BH61),2)</f>
        <v>79.77</v>
      </c>
      <c r="BJ61" s="448">
        <f t="shared" ref="BJ61:BJ62" si="47">TRUNC((BI61+BC61+AV61+AU61),2)</f>
        <v>949.66</v>
      </c>
      <c r="BK61" s="448">
        <f t="shared" si="18"/>
        <v>189.74740400000002</v>
      </c>
      <c r="BL61" s="448">
        <f t="shared" si="19"/>
        <v>253.07246800000001</v>
      </c>
      <c r="BM61" s="448">
        <f>$BM$10*BK61</f>
        <v>69.827044672</v>
      </c>
      <c r="BN61" s="448">
        <f>$BN$10*BL61</f>
        <v>93.130668224000004</v>
      </c>
      <c r="BO61" s="448">
        <f>$BO$10*AE61</f>
        <v>97.94883999999999</v>
      </c>
      <c r="BP61" s="448"/>
      <c r="BQ61" s="448">
        <f t="shared" ref="BQ61:BQ62" si="48">TRUNC(SUM(BK61:BP61),2)</f>
        <v>703.72</v>
      </c>
      <c r="BR61" s="448">
        <f t="shared" ref="BR61:BR62" si="49">TRUNC((BJ61+BQ61),2)</f>
        <v>1653.38</v>
      </c>
      <c r="BS61" s="448">
        <f>IF($J61="EFETIVO",BS$10,0)</f>
        <v>288.66000000000003</v>
      </c>
      <c r="BT61" s="448">
        <f>IF($J61="EFETIVO",BT$10,0)</f>
        <v>346.26</v>
      </c>
      <c r="BU61" s="448">
        <f>((AC61+AO61+AT61+BJ61+BS61+BT61)*E61)</f>
        <v>291.21030795000007</v>
      </c>
      <c r="BV61" s="448">
        <f>BQ61*E61</f>
        <v>46.093660000000007</v>
      </c>
      <c r="BW61" s="448">
        <f>SUM(BU61:BV61)</f>
        <v>337.30396795000007</v>
      </c>
      <c r="BX61" s="448">
        <f>BS61+BT61+BW61</f>
        <v>972.22396795000009</v>
      </c>
      <c r="BY61" s="448">
        <f t="shared" ref="BY61:BY62" si="50">(AC61+AO61+AT61+BJ61+BX61)</f>
        <v>4783.2628679500003</v>
      </c>
      <c r="BZ61" s="448">
        <f>BQ61</f>
        <v>703.72</v>
      </c>
      <c r="CA61" s="448">
        <f>BY61+BZ61</f>
        <v>5486.9828679500006</v>
      </c>
      <c r="CB61" s="449"/>
    </row>
    <row r="62" spans="1:80" s="450" customFormat="1" ht="15.75" customHeight="1">
      <c r="A62" s="435">
        <v>1</v>
      </c>
      <c r="B62" s="435">
        <v>1</v>
      </c>
      <c r="C62" s="435" t="s">
        <v>3246</v>
      </c>
      <c r="D62" s="436">
        <f>VLOOKUP(C62,ISS!A:B,2,0)</f>
        <v>2.5000000000000001E-2</v>
      </c>
      <c r="E62" s="437">
        <f>IF(D62=2%,5.99%,IF(D62=2.5%,6.55%,IF(D62=3%,7.12%,IF(D62=3.5%,7.7%,IF(D62=4%,8.28%,IF(D62=5%,9.46%))))))</f>
        <v>6.5500000000000003E-2</v>
      </c>
      <c r="F62" s="438">
        <v>44</v>
      </c>
      <c r="G62" s="439">
        <v>12384</v>
      </c>
      <c r="H62" s="440" t="s">
        <v>3978</v>
      </c>
      <c r="I62" s="435" t="s">
        <v>3848</v>
      </c>
      <c r="J62" s="102" t="s">
        <v>3521</v>
      </c>
      <c r="K62" s="435" t="str">
        <f t="shared" si="38"/>
        <v>BetimVIGILANTE ARMADO - 12X36 DIURNO</v>
      </c>
      <c r="L62" s="441" t="s">
        <v>3875</v>
      </c>
      <c r="M62" s="441"/>
      <c r="N62" s="102"/>
      <c r="O62" s="102"/>
      <c r="P62" s="102"/>
      <c r="Q62" s="442">
        <f>VLOOKUP('BANCO DADOS-CUSTO TOTAL'!$K62,PARAMETROS!$E:AX,3,0)</f>
        <v>1602.86</v>
      </c>
      <c r="R62" s="442">
        <f>VLOOKUP('BANCO DADOS-CUSTO TOTAL'!$K62,PARAMETROS!$E:AY,4,0)</f>
        <v>0</v>
      </c>
      <c r="S62" s="442">
        <f>VLOOKUP('BANCO DADOS-CUSTO TOTAL'!$K62,PARAMETROS!$E:AZ,5,0)</f>
        <v>480.85799999999995</v>
      </c>
      <c r="T62" s="442">
        <f>VLOOKUP('BANCO DADOS-CUSTO TOTAL'!$K62,PARAMETROS!$E:BA,6,0)</f>
        <v>0</v>
      </c>
      <c r="U62" s="442">
        <f>VLOOKUP('BANCO DADOS-CUSTO TOTAL'!$K62,PARAMETROS!$E:BB,7,0)</f>
        <v>0</v>
      </c>
      <c r="V62" s="442">
        <f>VLOOKUP('BANCO DADOS-CUSTO TOTAL'!$K62,PARAMETROS!$E:BC,8,0)</f>
        <v>0</v>
      </c>
      <c r="W62" s="442">
        <f>VLOOKUP('BANCO DADOS-CUSTO TOTAL'!$K62,PARAMETROS!$E:BD,9,0)</f>
        <v>146.80740454545455</v>
      </c>
      <c r="X62" s="442">
        <f>VLOOKUP('BANCO DADOS-CUSTO TOTAL'!$K62,PARAMETROS!$E:BE,10,0)</f>
        <v>47.357227272727279</v>
      </c>
      <c r="Y62" s="443">
        <f t="shared" si="42"/>
        <v>2277.88</v>
      </c>
      <c r="Z62" s="456"/>
      <c r="AA62" s="444">
        <v>30</v>
      </c>
      <c r="AB62" s="445">
        <f>IF(J62="EFETIVO",IF(AND(L62="",M62=""),$M$5,IF(AND(L62&lt;&gt;"",M62&lt;&gt;"",MONTH(L62)=MONTH(M62),YEAR(L62)=YEAR(M62)),M62-L62+1,IF(AND(L62&lt;&gt;"",M62&lt;&gt;"",MONTH(L62)&lt;&gt;MONTH(M62)),DAY(M62),IF(AND(L62="",M62&lt;&gt;"",MONTH($H$5)=MONTH(M62),YEAR(M62)=YEAR($H$5)),M62-$K$5+1,IF(AND(L62&lt;&gt;"",M62="",MONTH($K$5)=MONTH(L62),YEAR($K$5)=YEAR(L62)),30-DAY(L62)+1,$M$5))))),0)</f>
        <v>30</v>
      </c>
      <c r="AC62" s="446">
        <f>(Y62/30)*(AA62-Z62)</f>
        <v>2277.88</v>
      </c>
      <c r="AD62" s="447">
        <f>Y62</f>
        <v>2277.88</v>
      </c>
      <c r="AE62" s="447">
        <f>IF(AND(J62="EFETIVO",N62="FÉRIAS"),AD62,IF(J62="EFETIVO",AC62,0))</f>
        <v>2277.88</v>
      </c>
      <c r="AF62" s="443">
        <f>IF(J62="EFETIVO",VLOOKUP(K62,PARAMETROS!$E:AX,11,0),0)</f>
        <v>112.9</v>
      </c>
      <c r="AG62" s="443">
        <f>VLOOKUP(H62,'VA E VT - APOIO.LIMPEZA'!F:AX,14,0)</f>
        <v>223.06049999999999</v>
      </c>
      <c r="AH62" s="443">
        <f>VLOOKUP($H62,'VA E VT - APOIO.LIMPEZA'!$F:AY,20,0)</f>
        <v>18.528400000000005</v>
      </c>
      <c r="AI62" s="443">
        <f>IF($J62="EFETIVO",VLOOKUP($K62,PARAMETROS!$E:BA,14,0),0)</f>
        <v>91.08</v>
      </c>
      <c r="AJ62" s="443">
        <f>IF($J62="EFETIVO",VLOOKUP($K62,PARAMETROS!$E:BB,15,0),0)</f>
        <v>17.03</v>
      </c>
      <c r="AK62" s="443"/>
      <c r="AL62" s="443"/>
      <c r="AM62" s="443"/>
      <c r="AN62" s="443"/>
      <c r="AO62" s="448">
        <f t="shared" si="43"/>
        <v>462.59890000000007</v>
      </c>
      <c r="AP62" s="443">
        <f>IF($J62="EFETIVO",VLOOKUP($K62,PARAMETROS!$E:BH,20,0),0)</f>
        <v>62.37</v>
      </c>
      <c r="AQ62" s="446"/>
      <c r="AR62" s="443">
        <f>IF($J62="EFETIVO",VLOOKUP($K62,PARAMETROS!$E:BJ,22,0),0)</f>
        <v>58.53</v>
      </c>
      <c r="AS62" s="446"/>
      <c r="AT62" s="448">
        <f t="shared" si="44"/>
        <v>120.9</v>
      </c>
      <c r="AU62" s="448">
        <f>$AU$10*AC62</f>
        <v>838.25984000000005</v>
      </c>
      <c r="AV62" s="448">
        <f t="shared" si="40"/>
        <v>4.1001840000000005</v>
      </c>
      <c r="AW62" s="448">
        <f t="shared" si="40"/>
        <v>11.3894</v>
      </c>
      <c r="AX62" s="448">
        <f t="shared" si="40"/>
        <v>0.91115200000000007</v>
      </c>
      <c r="AY62" s="448">
        <f t="shared" si="39"/>
        <v>0.45557600000000004</v>
      </c>
      <c r="AZ62" s="448">
        <f t="shared" si="39"/>
        <v>7.9725800000000007</v>
      </c>
      <c r="BA62" s="448">
        <f t="shared" si="39"/>
        <v>2.9339094400000003</v>
      </c>
      <c r="BB62" s="448">
        <f t="shared" si="39"/>
        <v>3.8723960000000002</v>
      </c>
      <c r="BC62" s="448">
        <f t="shared" si="45"/>
        <v>27.53</v>
      </c>
      <c r="BD62" s="448">
        <f>IF($J62="EFETIVO",$Y62*BD$10,0)</f>
        <v>31.662531999999999</v>
      </c>
      <c r="BE62" s="448">
        <f>IF($J62="EFETIVO",$Y62*BE$10,0)</f>
        <v>19.134191999999999</v>
      </c>
      <c r="BF62" s="448">
        <f>IF($J62="EFETIVO",$Y62*BF$10,0)</f>
        <v>7.517004</v>
      </c>
      <c r="BG62" s="448">
        <f>IF($J62="EFETIVO",$Y62*BG$10,0)</f>
        <v>0</v>
      </c>
      <c r="BH62" s="448">
        <f>IF($J62="EFETIVO",$Y62*BH$10,0)</f>
        <v>21.459451904000002</v>
      </c>
      <c r="BI62" s="448">
        <f t="shared" si="46"/>
        <v>79.77</v>
      </c>
      <c r="BJ62" s="448">
        <f t="shared" si="47"/>
        <v>949.66</v>
      </c>
      <c r="BK62" s="448">
        <f t="shared" si="18"/>
        <v>189.74740400000002</v>
      </c>
      <c r="BL62" s="448">
        <f t="shared" si="19"/>
        <v>253.07246800000001</v>
      </c>
      <c r="BM62" s="448">
        <f>$BM$10*BK62</f>
        <v>69.827044672</v>
      </c>
      <c r="BN62" s="448">
        <f>$BN$10*BL62</f>
        <v>93.130668224000004</v>
      </c>
      <c r="BO62" s="448">
        <f>$BO$10*AE62</f>
        <v>97.94883999999999</v>
      </c>
      <c r="BP62" s="448"/>
      <c r="BQ62" s="448">
        <f t="shared" si="48"/>
        <v>703.72</v>
      </c>
      <c r="BR62" s="448">
        <f t="shared" si="49"/>
        <v>1653.38</v>
      </c>
      <c r="BS62" s="448">
        <f>IF($J62="EFETIVO",BS$10,0)</f>
        <v>288.66000000000003</v>
      </c>
      <c r="BT62" s="448">
        <f>IF($J62="EFETIVO",BT$10,0)</f>
        <v>346.26</v>
      </c>
      <c r="BU62" s="448">
        <f>((AC62+AO62+AT62+BJ62+BS62+BT62)*E62)</f>
        <v>291.21030795000007</v>
      </c>
      <c r="BV62" s="448">
        <f>BQ62*E62</f>
        <v>46.093660000000007</v>
      </c>
      <c r="BW62" s="448">
        <f>SUM(BU62:BV62)</f>
        <v>337.30396795000007</v>
      </c>
      <c r="BX62" s="448">
        <f>BS62+BT62+BW62</f>
        <v>972.22396795000009</v>
      </c>
      <c r="BY62" s="448">
        <f t="shared" si="50"/>
        <v>4783.2628679500003</v>
      </c>
      <c r="BZ62" s="448">
        <f>BQ62</f>
        <v>703.72</v>
      </c>
      <c r="CA62" s="448">
        <f>BY62+BZ62</f>
        <v>5486.9828679500006</v>
      </c>
      <c r="CB62" s="449"/>
    </row>
    <row r="63" spans="1:80" s="480" customFormat="1" ht="15.75" customHeight="1">
      <c r="A63" s="462"/>
      <c r="B63" s="462"/>
      <c r="C63" s="462" t="s">
        <v>3886</v>
      </c>
      <c r="D63" s="463"/>
      <c r="E63" s="464"/>
      <c r="F63" s="465"/>
      <c r="G63" s="466"/>
      <c r="H63" s="467"/>
      <c r="I63" s="462"/>
      <c r="J63" s="468"/>
      <c r="K63" s="462"/>
      <c r="L63" s="469"/>
      <c r="M63" s="469"/>
      <c r="N63" s="468"/>
      <c r="O63" s="468"/>
      <c r="P63" s="468"/>
      <c r="Q63" s="470"/>
      <c r="R63" s="470"/>
      <c r="S63" s="470"/>
      <c r="T63" s="470"/>
      <c r="U63" s="470"/>
      <c r="V63" s="470"/>
      <c r="W63" s="470"/>
      <c r="X63" s="470"/>
      <c r="Y63" s="471"/>
      <c r="Z63" s="472"/>
      <c r="AA63" s="473"/>
      <c r="AB63" s="474"/>
      <c r="AC63" s="475"/>
      <c r="AD63" s="476"/>
      <c r="AE63" s="470"/>
      <c r="AF63" s="477">
        <f t="shared" ref="AF63:BW63" si="51">SUBTOTAL(9,AF61:AF62)</f>
        <v>225.8</v>
      </c>
      <c r="AG63" s="477">
        <f t="shared" si="51"/>
        <v>446.12099999999998</v>
      </c>
      <c r="AH63" s="477">
        <f t="shared" si="51"/>
        <v>37.05680000000001</v>
      </c>
      <c r="AI63" s="477">
        <f t="shared" si="51"/>
        <v>182.16</v>
      </c>
      <c r="AJ63" s="477">
        <f t="shared" si="51"/>
        <v>34.06</v>
      </c>
      <c r="AK63" s="477">
        <f t="shared" si="51"/>
        <v>0</v>
      </c>
      <c r="AL63" s="477">
        <f t="shared" si="51"/>
        <v>0</v>
      </c>
      <c r="AM63" s="477">
        <f t="shared" si="51"/>
        <v>0</v>
      </c>
      <c r="AN63" s="477">
        <f t="shared" si="51"/>
        <v>0</v>
      </c>
      <c r="AO63" s="477">
        <f t="shared" si="51"/>
        <v>925.19780000000014</v>
      </c>
      <c r="AP63" s="477">
        <f t="shared" si="51"/>
        <v>124.74</v>
      </c>
      <c r="AQ63" s="477">
        <f t="shared" si="51"/>
        <v>0</v>
      </c>
      <c r="AR63" s="477">
        <f t="shared" si="51"/>
        <v>117.06</v>
      </c>
      <c r="AS63" s="477">
        <f t="shared" si="51"/>
        <v>0</v>
      </c>
      <c r="AT63" s="477">
        <f t="shared" si="51"/>
        <v>241.8</v>
      </c>
      <c r="AU63" s="477">
        <f t="shared" si="51"/>
        <v>1676.5196800000001</v>
      </c>
      <c r="AV63" s="477">
        <f t="shared" si="51"/>
        <v>8.200368000000001</v>
      </c>
      <c r="AW63" s="477">
        <f t="shared" si="51"/>
        <v>22.7788</v>
      </c>
      <c r="AX63" s="477">
        <f t="shared" si="51"/>
        <v>1.8223040000000001</v>
      </c>
      <c r="AY63" s="477">
        <f t="shared" si="51"/>
        <v>0.91115200000000007</v>
      </c>
      <c r="AZ63" s="477">
        <f t="shared" si="51"/>
        <v>15.945160000000001</v>
      </c>
      <c r="BA63" s="477">
        <f t="shared" si="51"/>
        <v>5.8678188800000006</v>
      </c>
      <c r="BB63" s="477">
        <f t="shared" si="51"/>
        <v>7.7447920000000003</v>
      </c>
      <c r="BC63" s="477">
        <f t="shared" si="51"/>
        <v>55.06</v>
      </c>
      <c r="BD63" s="477">
        <f t="shared" si="51"/>
        <v>63.325063999999998</v>
      </c>
      <c r="BE63" s="477">
        <f t="shared" si="51"/>
        <v>38.268383999999998</v>
      </c>
      <c r="BF63" s="477">
        <f t="shared" si="51"/>
        <v>15.034008</v>
      </c>
      <c r="BG63" s="477">
        <f t="shared" si="51"/>
        <v>0</v>
      </c>
      <c r="BH63" s="477">
        <f t="shared" si="51"/>
        <v>42.918903808000003</v>
      </c>
      <c r="BI63" s="477">
        <f t="shared" si="51"/>
        <v>159.54</v>
      </c>
      <c r="BJ63" s="477">
        <f t="shared" si="51"/>
        <v>1899.32</v>
      </c>
      <c r="BK63" s="477">
        <f t="shared" si="51"/>
        <v>379.49480800000003</v>
      </c>
      <c r="BL63" s="477">
        <f t="shared" si="51"/>
        <v>506.14493600000003</v>
      </c>
      <c r="BM63" s="477">
        <f t="shared" si="51"/>
        <v>139.654089344</v>
      </c>
      <c r="BN63" s="477">
        <f t="shared" si="51"/>
        <v>186.26133644800001</v>
      </c>
      <c r="BO63" s="477">
        <f t="shared" si="51"/>
        <v>195.89767999999998</v>
      </c>
      <c r="BP63" s="477">
        <f t="shared" si="51"/>
        <v>0</v>
      </c>
      <c r="BQ63" s="477">
        <f t="shared" si="51"/>
        <v>1407.44</v>
      </c>
      <c r="BR63" s="477">
        <f t="shared" si="51"/>
        <v>3306.76</v>
      </c>
      <c r="BS63" s="477">
        <f t="shared" si="51"/>
        <v>577.32000000000005</v>
      </c>
      <c r="BT63" s="477">
        <f t="shared" si="51"/>
        <v>692.52</v>
      </c>
      <c r="BU63" s="477">
        <f t="shared" si="51"/>
        <v>582.42061590000014</v>
      </c>
      <c r="BV63" s="477">
        <f t="shared" si="51"/>
        <v>92.187320000000014</v>
      </c>
      <c r="BW63" s="477">
        <f t="shared" si="51"/>
        <v>674.60793590000014</v>
      </c>
      <c r="BX63" s="477">
        <f>SUBTOTAL(9,BX61:BX62)</f>
        <v>1944.4479359000002</v>
      </c>
      <c r="BY63" s="477">
        <f>SUBTOTAL(9,BY61:BY62)</f>
        <v>9566.5257359000007</v>
      </c>
      <c r="BZ63" s="477">
        <f>SUBTOTAL(9,BZ61:BZ62)</f>
        <v>1407.44</v>
      </c>
      <c r="CA63" s="477">
        <f>SUBTOTAL(9,CA61:CA62)</f>
        <v>10973.965735900001</v>
      </c>
      <c r="CB63" s="479"/>
    </row>
    <row r="64" spans="1:80" s="450" customFormat="1" ht="15.75" customHeight="1">
      <c r="A64" s="435">
        <v>1</v>
      </c>
      <c r="B64" s="435">
        <v>1</v>
      </c>
      <c r="C64" s="435" t="s">
        <v>3833</v>
      </c>
      <c r="D64" s="436">
        <f>VLOOKUP(C64,ISS!A:B,2,0)</f>
        <v>0.02</v>
      </c>
      <c r="E64" s="437">
        <f>IF(D64=2%,5.99%,IF(D64=2.5%,6.55%,IF(D64=3%,7.12%,IF(D64=3.5%,7.7%,IF(D64=4%,8.28%,IF(D64=5%,9.46%))))))</f>
        <v>5.9900000000000002E-2</v>
      </c>
      <c r="F64" s="438">
        <v>45</v>
      </c>
      <c r="G64" s="439">
        <v>12385</v>
      </c>
      <c r="H64" s="440" t="s">
        <v>3979</v>
      </c>
      <c r="I64" s="435" t="s">
        <v>3849</v>
      </c>
      <c r="J64" s="102" t="s">
        <v>3521</v>
      </c>
      <c r="K64" s="435" t="str">
        <f t="shared" si="38"/>
        <v>CaetéVIGILANTE ARMADO - 220 H</v>
      </c>
      <c r="L64" s="441" t="s">
        <v>3875</v>
      </c>
      <c r="M64" s="441"/>
      <c r="N64" s="102"/>
      <c r="O64" s="102"/>
      <c r="P64" s="102"/>
      <c r="Q64" s="442">
        <f>VLOOKUP('BANCO DADOS-CUSTO TOTAL'!$K64,PARAMETROS!$E:AX,3,0)</f>
        <v>1602.86</v>
      </c>
      <c r="R64" s="442">
        <f>VLOOKUP('BANCO DADOS-CUSTO TOTAL'!$K64,PARAMETROS!$E:AY,4,0)</f>
        <v>0</v>
      </c>
      <c r="S64" s="442">
        <f>VLOOKUP('BANCO DADOS-CUSTO TOTAL'!$K64,PARAMETROS!$E:AZ,5,0)</f>
        <v>480.85799999999995</v>
      </c>
      <c r="T64" s="442">
        <f>VLOOKUP('BANCO DADOS-CUSTO TOTAL'!$K64,PARAMETROS!$E:BA,6,0)</f>
        <v>0</v>
      </c>
      <c r="U64" s="442">
        <f>VLOOKUP('BANCO DADOS-CUSTO TOTAL'!$K64,PARAMETROS!$E:BB,7,0)</f>
        <v>0</v>
      </c>
      <c r="V64" s="442">
        <f>VLOOKUP('BANCO DADOS-CUSTO TOTAL'!$K64,PARAMETROS!$E:BC,8,0)</f>
        <v>0</v>
      </c>
      <c r="W64" s="442">
        <f>VLOOKUP('BANCO DADOS-CUSTO TOTAL'!$K64,PARAMETROS!$E:BD,9,0)</f>
        <v>189.42890909090909</v>
      </c>
      <c r="X64" s="442">
        <f>VLOOKUP('BANCO DADOS-CUSTO TOTAL'!$K64,PARAMETROS!$E:BE,10,0)</f>
        <v>13.891453333333336</v>
      </c>
      <c r="Y64" s="443">
        <f>TRUNC(SUM(Q64:X64),2)</f>
        <v>2287.0300000000002</v>
      </c>
      <c r="Z64" s="456"/>
      <c r="AA64" s="444">
        <v>30</v>
      </c>
      <c r="AB64" s="445">
        <f>IF(J64="EFETIVO",IF(AND(L64="",M64=""),$M$5,IF(AND(L64&lt;&gt;"",M64&lt;&gt;"",MONTH(L64)=MONTH(M64),YEAR(L64)=YEAR(M64)),M64-L64+1,IF(AND(L64&lt;&gt;"",M64&lt;&gt;"",MONTH(L64)&lt;&gt;MONTH(M64)),DAY(M64),IF(AND(L64="",M64&lt;&gt;"",MONTH($H$5)=MONTH(M64),YEAR(M64)=YEAR($H$5)),M64-$K$5+1,IF(AND(L64&lt;&gt;"",M64="",MONTH($K$5)=MONTH(L64),YEAR($K$5)=YEAR(L64)),30-DAY(L64)+1,$M$5))))),0)</f>
        <v>30</v>
      </c>
      <c r="AC64" s="446">
        <f>(Y64/30)*(AA64-Z64)</f>
        <v>2287.0300000000002</v>
      </c>
      <c r="AD64" s="447">
        <f>Y64</f>
        <v>2287.0300000000002</v>
      </c>
      <c r="AE64" s="447">
        <f>IF(AND(J64="EFETIVO",N64="FÉRIAS"),AD64,IF(J64="EFETIVO",AC64,0))</f>
        <v>2287.0300000000002</v>
      </c>
      <c r="AF64" s="443">
        <f>IF(J64="EFETIVO",VLOOKUP(K64,PARAMETROS!$E:AX,11,0),0)</f>
        <v>112.9</v>
      </c>
      <c r="AG64" s="443">
        <f>VLOOKUP(H64,'VA E VT - APOIO.LIMPEZA'!F:AX,14,0)</f>
        <v>287.82</v>
      </c>
      <c r="AH64" s="443">
        <f>VLOOKUP($H64,'VA E VT - APOIO.LIMPEZA'!$F:AY,20,0)</f>
        <v>51.828400000000002</v>
      </c>
      <c r="AI64" s="443">
        <f>IF($J64="EFETIVO",VLOOKUP($K64,PARAMETROS!$E:BA,14,0),0)</f>
        <v>91.08</v>
      </c>
      <c r="AJ64" s="443">
        <f>IF($J64="EFETIVO",VLOOKUP($K64,PARAMETROS!$E:BB,15,0),0)</f>
        <v>17.03</v>
      </c>
      <c r="AK64" s="443"/>
      <c r="AL64" s="443"/>
      <c r="AM64" s="443"/>
      <c r="AN64" s="443"/>
      <c r="AO64" s="448">
        <f>SUM(AF64:AN64)</f>
        <v>560.65840000000003</v>
      </c>
      <c r="AP64" s="443">
        <f>IF($J64="EFETIVO",VLOOKUP($K64,PARAMETROS!$E:BH,20,0),0)</f>
        <v>62.37</v>
      </c>
      <c r="AQ64" s="446"/>
      <c r="AR64" s="443">
        <f>IF($J64="EFETIVO",VLOOKUP($K64,PARAMETROS!$E:BJ,22,0),0)</f>
        <v>58.53</v>
      </c>
      <c r="AS64" s="446"/>
      <c r="AT64" s="448">
        <f>(AP64+AQ64+AR64+AS64)</f>
        <v>120.9</v>
      </c>
      <c r="AU64" s="448">
        <f>$AU$10*AC64</f>
        <v>841.62704000000008</v>
      </c>
      <c r="AV64" s="448">
        <f t="shared" si="40"/>
        <v>4.1166540000000005</v>
      </c>
      <c r="AW64" s="448">
        <f t="shared" si="40"/>
        <v>11.435150000000002</v>
      </c>
      <c r="AX64" s="448">
        <f t="shared" si="40"/>
        <v>0.91481200000000007</v>
      </c>
      <c r="AY64" s="448">
        <f t="shared" si="39"/>
        <v>0.45740600000000003</v>
      </c>
      <c r="AZ64" s="448">
        <f t="shared" si="39"/>
        <v>8.0046050000000015</v>
      </c>
      <c r="BA64" s="448">
        <f t="shared" si="39"/>
        <v>2.9456946400000006</v>
      </c>
      <c r="BB64" s="448">
        <f t="shared" si="39"/>
        <v>3.8879510000000002</v>
      </c>
      <c r="BC64" s="448">
        <f>TRUNC(SUM(AW64:BB64),2)</f>
        <v>27.64</v>
      </c>
      <c r="BD64" s="448">
        <f>IF($J64="EFETIVO",$Y64*BD$10,0)</f>
        <v>31.789717</v>
      </c>
      <c r="BE64" s="448">
        <f>IF($J64="EFETIVO",$Y64*BE$10,0)</f>
        <v>19.211052000000002</v>
      </c>
      <c r="BF64" s="448">
        <f>IF($J64="EFETIVO",$Y64*BF$10,0)</f>
        <v>7.5471990000000009</v>
      </c>
      <c r="BG64" s="448">
        <f>IF($J64="EFETIVO",$Y64*BG$10,0)</f>
        <v>0</v>
      </c>
      <c r="BH64" s="448">
        <f>IF($J64="EFETIVO",$Y64*BH$10,0)</f>
        <v>21.545652224000001</v>
      </c>
      <c r="BI64" s="448">
        <f>TRUNC(SUM(BD64:BH64),2)</f>
        <v>80.09</v>
      </c>
      <c r="BJ64" s="448">
        <f>TRUNC((BI64+BC64+AV64+AU64),2)</f>
        <v>953.47</v>
      </c>
      <c r="BK64" s="448">
        <f t="shared" si="18"/>
        <v>190.50959900000001</v>
      </c>
      <c r="BL64" s="448">
        <f t="shared" si="19"/>
        <v>254.08903300000003</v>
      </c>
      <c r="BM64" s="448">
        <f>$BM$10*BK64</f>
        <v>70.107532431999999</v>
      </c>
      <c r="BN64" s="448">
        <f>$BN$10*BL64</f>
        <v>93.504764144000006</v>
      </c>
      <c r="BO64" s="448">
        <f>$BO$10*AE64</f>
        <v>98.342290000000006</v>
      </c>
      <c r="BP64" s="448"/>
      <c r="BQ64" s="448">
        <f>TRUNC(SUM(BK64:BP64),2)</f>
        <v>706.55</v>
      </c>
      <c r="BR64" s="448">
        <f>TRUNC((BJ64+BQ64),2)</f>
        <v>1660.02</v>
      </c>
      <c r="BS64" s="448">
        <f>IF($J64="EFETIVO",BS$10,0)</f>
        <v>288.66000000000003</v>
      </c>
      <c r="BT64" s="448">
        <f>IF($J64="EFETIVO",BT$10,0)</f>
        <v>346.26</v>
      </c>
      <c r="BU64" s="448">
        <f>((AC64+AO64+AT64+BJ64+BS64+BT64)*E64)</f>
        <v>272.96300616000002</v>
      </c>
      <c r="BV64" s="448">
        <f>BQ64*E64</f>
        <v>42.322344999999999</v>
      </c>
      <c r="BW64" s="448">
        <f>SUM(BU64:BV64)</f>
        <v>315.28535116</v>
      </c>
      <c r="BX64" s="448">
        <f>BS64+BT64+BW64</f>
        <v>950.20535116000008</v>
      </c>
      <c r="BY64" s="448">
        <f>(AC64+AO64+AT64+BJ64+BX64)</f>
        <v>4872.2637511599996</v>
      </c>
      <c r="BZ64" s="448">
        <f>BQ64</f>
        <v>706.55</v>
      </c>
      <c r="CA64" s="448">
        <f>BY64+BZ64</f>
        <v>5578.8137511599998</v>
      </c>
      <c r="CB64" s="449"/>
    </row>
    <row r="65" spans="1:80" s="480" customFormat="1" ht="15.75" customHeight="1">
      <c r="A65" s="462"/>
      <c r="B65" s="462"/>
      <c r="C65" s="462" t="s">
        <v>3887</v>
      </c>
      <c r="D65" s="463"/>
      <c r="E65" s="464"/>
      <c r="F65" s="465"/>
      <c r="G65" s="466"/>
      <c r="H65" s="467"/>
      <c r="I65" s="462"/>
      <c r="J65" s="468"/>
      <c r="K65" s="462"/>
      <c r="L65" s="469"/>
      <c r="M65" s="469"/>
      <c r="N65" s="468"/>
      <c r="O65" s="468"/>
      <c r="P65" s="468"/>
      <c r="Q65" s="470"/>
      <c r="R65" s="470"/>
      <c r="S65" s="470"/>
      <c r="T65" s="470"/>
      <c r="U65" s="470"/>
      <c r="V65" s="470"/>
      <c r="W65" s="470"/>
      <c r="X65" s="470"/>
      <c r="Y65" s="471"/>
      <c r="Z65" s="472"/>
      <c r="AA65" s="473"/>
      <c r="AB65" s="474"/>
      <c r="AC65" s="475"/>
      <c r="AD65" s="476"/>
      <c r="AE65" s="470"/>
      <c r="AF65" s="477">
        <f t="shared" ref="AF65:CA65" si="52">SUBTOTAL(9,AF64)</f>
        <v>112.9</v>
      </c>
      <c r="AG65" s="477">
        <f t="shared" si="52"/>
        <v>287.82</v>
      </c>
      <c r="AH65" s="477">
        <f t="shared" si="52"/>
        <v>51.828400000000002</v>
      </c>
      <c r="AI65" s="477">
        <f t="shared" si="52"/>
        <v>91.08</v>
      </c>
      <c r="AJ65" s="477">
        <f t="shared" si="52"/>
        <v>17.03</v>
      </c>
      <c r="AK65" s="477">
        <f t="shared" si="52"/>
        <v>0</v>
      </c>
      <c r="AL65" s="477">
        <f t="shared" si="52"/>
        <v>0</v>
      </c>
      <c r="AM65" s="477">
        <f t="shared" si="52"/>
        <v>0</v>
      </c>
      <c r="AN65" s="477">
        <f t="shared" si="52"/>
        <v>0</v>
      </c>
      <c r="AO65" s="477">
        <f t="shared" si="52"/>
        <v>560.65840000000003</v>
      </c>
      <c r="AP65" s="477">
        <f t="shared" si="52"/>
        <v>62.37</v>
      </c>
      <c r="AQ65" s="477">
        <f t="shared" si="52"/>
        <v>0</v>
      </c>
      <c r="AR65" s="477">
        <f t="shared" si="52"/>
        <v>58.53</v>
      </c>
      <c r="AS65" s="477">
        <f t="shared" si="52"/>
        <v>0</v>
      </c>
      <c r="AT65" s="477">
        <f t="shared" si="52"/>
        <v>120.9</v>
      </c>
      <c r="AU65" s="477">
        <f t="shared" si="52"/>
        <v>841.62704000000008</v>
      </c>
      <c r="AV65" s="477">
        <f t="shared" si="52"/>
        <v>4.1166540000000005</v>
      </c>
      <c r="AW65" s="477">
        <f t="shared" si="52"/>
        <v>11.435150000000002</v>
      </c>
      <c r="AX65" s="477">
        <f t="shared" si="52"/>
        <v>0.91481200000000007</v>
      </c>
      <c r="AY65" s="477">
        <f t="shared" si="52"/>
        <v>0.45740600000000003</v>
      </c>
      <c r="AZ65" s="477">
        <f t="shared" si="52"/>
        <v>8.0046050000000015</v>
      </c>
      <c r="BA65" s="477">
        <f t="shared" si="52"/>
        <v>2.9456946400000006</v>
      </c>
      <c r="BB65" s="477">
        <f t="shared" si="52"/>
        <v>3.8879510000000002</v>
      </c>
      <c r="BC65" s="477">
        <f t="shared" si="52"/>
        <v>27.64</v>
      </c>
      <c r="BD65" s="477">
        <f t="shared" si="52"/>
        <v>31.789717</v>
      </c>
      <c r="BE65" s="477">
        <f t="shared" si="52"/>
        <v>19.211052000000002</v>
      </c>
      <c r="BF65" s="477">
        <f t="shared" si="52"/>
        <v>7.5471990000000009</v>
      </c>
      <c r="BG65" s="477">
        <f t="shared" si="52"/>
        <v>0</v>
      </c>
      <c r="BH65" s="477">
        <f t="shared" si="52"/>
        <v>21.545652224000001</v>
      </c>
      <c r="BI65" s="477">
        <f t="shared" si="52"/>
        <v>80.09</v>
      </c>
      <c r="BJ65" s="477">
        <f t="shared" si="52"/>
        <v>953.47</v>
      </c>
      <c r="BK65" s="477">
        <f t="shared" si="52"/>
        <v>190.50959900000001</v>
      </c>
      <c r="BL65" s="477">
        <f t="shared" si="52"/>
        <v>254.08903300000003</v>
      </c>
      <c r="BM65" s="477">
        <f t="shared" si="52"/>
        <v>70.107532431999999</v>
      </c>
      <c r="BN65" s="477">
        <f t="shared" si="52"/>
        <v>93.504764144000006</v>
      </c>
      <c r="BO65" s="477">
        <f t="shared" si="52"/>
        <v>98.342290000000006</v>
      </c>
      <c r="BP65" s="477">
        <f t="shared" si="52"/>
        <v>0</v>
      </c>
      <c r="BQ65" s="477">
        <f t="shared" si="52"/>
        <v>706.55</v>
      </c>
      <c r="BR65" s="477">
        <f t="shared" si="52"/>
        <v>1660.02</v>
      </c>
      <c r="BS65" s="477">
        <f t="shared" si="52"/>
        <v>288.66000000000003</v>
      </c>
      <c r="BT65" s="477">
        <f t="shared" si="52"/>
        <v>346.26</v>
      </c>
      <c r="BU65" s="477">
        <f t="shared" si="52"/>
        <v>272.96300616000002</v>
      </c>
      <c r="BV65" s="477">
        <f t="shared" si="52"/>
        <v>42.322344999999999</v>
      </c>
      <c r="BW65" s="477">
        <f t="shared" si="52"/>
        <v>315.28535116</v>
      </c>
      <c r="BX65" s="477">
        <f t="shared" si="52"/>
        <v>950.20535116000008</v>
      </c>
      <c r="BY65" s="477">
        <f t="shared" si="52"/>
        <v>4872.2637511599996</v>
      </c>
      <c r="BZ65" s="477">
        <f t="shared" si="52"/>
        <v>706.55</v>
      </c>
      <c r="CA65" s="477">
        <f t="shared" si="52"/>
        <v>5578.8137511599998</v>
      </c>
      <c r="CB65" s="479"/>
    </row>
    <row r="66" spans="1:80" s="450" customFormat="1" ht="15.75" customHeight="1">
      <c r="A66" s="435">
        <v>1</v>
      </c>
      <c r="B66" s="435">
        <v>1</v>
      </c>
      <c r="C66" s="435" t="s">
        <v>3834</v>
      </c>
      <c r="D66" s="436">
        <f>VLOOKUP(C66,ISS!A:B,2,0)</f>
        <v>0.03</v>
      </c>
      <c r="E66" s="437">
        <f>IF(D66=2%,5.99%,IF(D66=2.5%,6.55%,IF(D66=3%,7.12%,IF(D66=3.5%,7.7%,IF(D66=4%,8.28%,IF(D66=5%,9.46%))))))</f>
        <v>7.1199999999999999E-2</v>
      </c>
      <c r="F66" s="438">
        <v>46</v>
      </c>
      <c r="G66" s="439">
        <v>12386</v>
      </c>
      <c r="H66" s="440" t="s">
        <v>3980</v>
      </c>
      <c r="I66" s="435" t="s">
        <v>3849</v>
      </c>
      <c r="J66" s="102" t="s">
        <v>3521</v>
      </c>
      <c r="K66" s="435" t="str">
        <f t="shared" si="38"/>
        <v>Campo BeloVIGILANTE ARMADO - 220 H</v>
      </c>
      <c r="L66" s="441" t="s">
        <v>3875</v>
      </c>
      <c r="M66" s="441"/>
      <c r="N66" s="102"/>
      <c r="O66" s="102"/>
      <c r="P66" s="102"/>
      <c r="Q66" s="442">
        <f>VLOOKUP('BANCO DADOS-CUSTO TOTAL'!$K66,PARAMETROS!$E:AX,3,0)</f>
        <v>1602.86</v>
      </c>
      <c r="R66" s="442">
        <f>VLOOKUP('BANCO DADOS-CUSTO TOTAL'!$K66,PARAMETROS!$E:AY,4,0)</f>
        <v>0</v>
      </c>
      <c r="S66" s="442">
        <f>VLOOKUP('BANCO DADOS-CUSTO TOTAL'!$K66,PARAMETROS!$E:AZ,5,0)</f>
        <v>480.85799999999995</v>
      </c>
      <c r="T66" s="442">
        <f>VLOOKUP('BANCO DADOS-CUSTO TOTAL'!$K66,PARAMETROS!$E:BA,6,0)</f>
        <v>0</v>
      </c>
      <c r="U66" s="442">
        <f>VLOOKUP('BANCO DADOS-CUSTO TOTAL'!$K66,PARAMETROS!$E:BB,7,0)</f>
        <v>0</v>
      </c>
      <c r="V66" s="442">
        <f>VLOOKUP('BANCO DADOS-CUSTO TOTAL'!$K66,PARAMETROS!$E:BC,8,0)</f>
        <v>0</v>
      </c>
      <c r="W66" s="442">
        <f>VLOOKUP('BANCO DADOS-CUSTO TOTAL'!$K66,PARAMETROS!$E:BD,9,0)</f>
        <v>189.42890909090909</v>
      </c>
      <c r="X66" s="442">
        <f>VLOOKUP('BANCO DADOS-CUSTO TOTAL'!$K66,PARAMETROS!$E:BE,10,0)</f>
        <v>13.891453333333336</v>
      </c>
      <c r="Y66" s="443">
        <f>TRUNC(SUM(Q66:X66),2)</f>
        <v>2287.0300000000002</v>
      </c>
      <c r="Z66" s="456"/>
      <c r="AA66" s="444">
        <v>30</v>
      </c>
      <c r="AB66" s="445">
        <f>IF(J66="EFETIVO",IF(AND(L66="",M66=""),$M$5,IF(AND(L66&lt;&gt;"",M66&lt;&gt;"",MONTH(L66)=MONTH(M66),YEAR(L66)=YEAR(M66)),M66-L66+1,IF(AND(L66&lt;&gt;"",M66&lt;&gt;"",MONTH(L66)&lt;&gt;MONTH(M66)),DAY(M66),IF(AND(L66="",M66&lt;&gt;"",MONTH($H$5)=MONTH(M66),YEAR(M66)=YEAR($H$5)),M66-$K$5+1,IF(AND(L66&lt;&gt;"",M66="",MONTH($K$5)=MONTH(L66),YEAR($K$5)=YEAR(L66)),30-DAY(L66)+1,$M$5))))),0)</f>
        <v>30</v>
      </c>
      <c r="AC66" s="446">
        <f>(Y66/30)*(AA66-Z66)</f>
        <v>2287.0300000000002</v>
      </c>
      <c r="AD66" s="447">
        <f>Y66</f>
        <v>2287.0300000000002</v>
      </c>
      <c r="AE66" s="447">
        <f>IF(AND(J66="EFETIVO",N66="FÉRIAS"),AD66,IF(J66="EFETIVO",AC66,0))</f>
        <v>2287.0300000000002</v>
      </c>
      <c r="AF66" s="443">
        <f>IF(J66="EFETIVO",VLOOKUP(K66,PARAMETROS!$E:AX,11,0),0)</f>
        <v>112.9</v>
      </c>
      <c r="AG66" s="443">
        <f>VLOOKUP(H66,'VA E VT - APOIO.LIMPEZA'!F:AX,14,0)</f>
        <v>287.82</v>
      </c>
      <c r="AH66" s="443">
        <f>VLOOKUP($H66,'VA E VT - APOIO.LIMPEZA'!$F:AY,20,0)</f>
        <v>51.828400000000002</v>
      </c>
      <c r="AI66" s="443">
        <f>IF($J66="EFETIVO",VLOOKUP($K66,PARAMETROS!$E:BA,14,0),0)</f>
        <v>91.08</v>
      </c>
      <c r="AJ66" s="443">
        <f>IF($J66="EFETIVO",VLOOKUP($K66,PARAMETROS!$E:BB,15,0),0)</f>
        <v>17.03</v>
      </c>
      <c r="AK66" s="443"/>
      <c r="AL66" s="443"/>
      <c r="AM66" s="443"/>
      <c r="AN66" s="443"/>
      <c r="AO66" s="448">
        <f>SUM(AF66:AN66)</f>
        <v>560.65840000000003</v>
      </c>
      <c r="AP66" s="443">
        <f>IF($J66="EFETIVO",VLOOKUP($K66,PARAMETROS!$E:BH,20,0),0)</f>
        <v>62.37</v>
      </c>
      <c r="AQ66" s="446"/>
      <c r="AR66" s="443">
        <f>IF($J66="EFETIVO",VLOOKUP($K66,PARAMETROS!$E:BJ,22,0),0)</f>
        <v>58.53</v>
      </c>
      <c r="AS66" s="446"/>
      <c r="AT66" s="448">
        <f>(AP66+AQ66+AR66+AS66)</f>
        <v>120.9</v>
      </c>
      <c r="AU66" s="448">
        <f>$AU$10*AC66</f>
        <v>841.62704000000008</v>
      </c>
      <c r="AV66" s="448">
        <f t="shared" si="40"/>
        <v>4.1166540000000005</v>
      </c>
      <c r="AW66" s="448">
        <f t="shared" si="40"/>
        <v>11.435150000000002</v>
      </c>
      <c r="AX66" s="448">
        <f t="shared" si="40"/>
        <v>0.91481200000000007</v>
      </c>
      <c r="AY66" s="448">
        <f t="shared" si="39"/>
        <v>0.45740600000000003</v>
      </c>
      <c r="AZ66" s="448">
        <f t="shared" si="39"/>
        <v>8.0046050000000015</v>
      </c>
      <c r="BA66" s="448">
        <f t="shared" si="39"/>
        <v>2.9456946400000006</v>
      </c>
      <c r="BB66" s="448">
        <f t="shared" si="39"/>
        <v>3.8879510000000002</v>
      </c>
      <c r="BC66" s="448">
        <f>TRUNC(SUM(AW66:BB66),2)</f>
        <v>27.64</v>
      </c>
      <c r="BD66" s="448">
        <f>IF($J66="EFETIVO",$Y66*BD$10,0)</f>
        <v>31.789717</v>
      </c>
      <c r="BE66" s="448">
        <f>IF($J66="EFETIVO",$Y66*BE$10,0)</f>
        <v>19.211052000000002</v>
      </c>
      <c r="BF66" s="448">
        <f>IF($J66="EFETIVO",$Y66*BF$10,0)</f>
        <v>7.5471990000000009</v>
      </c>
      <c r="BG66" s="448">
        <f>IF($J66="EFETIVO",$Y66*BG$10,0)</f>
        <v>0</v>
      </c>
      <c r="BH66" s="448">
        <f>IF($J66="EFETIVO",$Y66*BH$10,0)</f>
        <v>21.545652224000001</v>
      </c>
      <c r="BI66" s="448">
        <f>TRUNC(SUM(BD66:BH66),2)</f>
        <v>80.09</v>
      </c>
      <c r="BJ66" s="448">
        <f>TRUNC((BI66+BC66+AV66+AU66),2)</f>
        <v>953.47</v>
      </c>
      <c r="BK66" s="448">
        <f t="shared" si="18"/>
        <v>190.50959900000001</v>
      </c>
      <c r="BL66" s="448">
        <f t="shared" si="19"/>
        <v>254.08903300000003</v>
      </c>
      <c r="BM66" s="448">
        <f>$BM$10*BK66</f>
        <v>70.107532431999999</v>
      </c>
      <c r="BN66" s="448">
        <f>$BN$10*BL66</f>
        <v>93.504764144000006</v>
      </c>
      <c r="BO66" s="448">
        <f>$BO$10*AE66</f>
        <v>98.342290000000006</v>
      </c>
      <c r="BP66" s="448"/>
      <c r="BQ66" s="448">
        <f>TRUNC(SUM(BK66:BP66),2)</f>
        <v>706.55</v>
      </c>
      <c r="BR66" s="448">
        <f>TRUNC((BJ66+BQ66),2)</f>
        <v>1660.02</v>
      </c>
      <c r="BS66" s="448">
        <f>IF($J66="EFETIVO",BS$10,0)</f>
        <v>288.66000000000003</v>
      </c>
      <c r="BT66" s="448">
        <f>IF($J66="EFETIVO",BT$10,0)</f>
        <v>346.26</v>
      </c>
      <c r="BU66" s="448">
        <f>((AC66+AO66+AT66+BJ66+BS66+BT66)*E66)</f>
        <v>324.45686208000001</v>
      </c>
      <c r="BV66" s="448">
        <f>BQ66*E66</f>
        <v>50.306359999999998</v>
      </c>
      <c r="BW66" s="448">
        <f>SUM(BU66:BV66)</f>
        <v>374.76322207999999</v>
      </c>
      <c r="BX66" s="448">
        <f>BS66+BT66+BW66</f>
        <v>1009.6832220800001</v>
      </c>
      <c r="BY66" s="448">
        <f>(AC66+AO66+AT66+BJ66+BX66)</f>
        <v>4931.7416220799996</v>
      </c>
      <c r="BZ66" s="448">
        <f>BQ66</f>
        <v>706.55</v>
      </c>
      <c r="CA66" s="448">
        <f>BY66+BZ66</f>
        <v>5638.2916220799998</v>
      </c>
      <c r="CB66" s="449"/>
    </row>
    <row r="67" spans="1:80" s="480" customFormat="1" ht="15.75" customHeight="1">
      <c r="A67" s="462"/>
      <c r="B67" s="462"/>
      <c r="C67" s="462" t="s">
        <v>3888</v>
      </c>
      <c r="D67" s="463"/>
      <c r="E67" s="464"/>
      <c r="F67" s="465"/>
      <c r="G67" s="466"/>
      <c r="H67" s="467"/>
      <c r="I67" s="462"/>
      <c r="J67" s="468"/>
      <c r="K67" s="462"/>
      <c r="L67" s="469"/>
      <c r="M67" s="469"/>
      <c r="N67" s="468"/>
      <c r="O67" s="468"/>
      <c r="P67" s="468"/>
      <c r="Q67" s="470"/>
      <c r="R67" s="470"/>
      <c r="S67" s="470"/>
      <c r="T67" s="470"/>
      <c r="U67" s="470"/>
      <c r="V67" s="470"/>
      <c r="W67" s="470"/>
      <c r="X67" s="470"/>
      <c r="Y67" s="471"/>
      <c r="Z67" s="472"/>
      <c r="AA67" s="473"/>
      <c r="AB67" s="474"/>
      <c r="AC67" s="475"/>
      <c r="AD67" s="476"/>
      <c r="AE67" s="476"/>
      <c r="AF67" s="478">
        <f t="shared" ref="AF67:CA67" si="53">SUBTOTAL(9,AF66)</f>
        <v>112.9</v>
      </c>
      <c r="AG67" s="477">
        <f t="shared" si="53"/>
        <v>287.82</v>
      </c>
      <c r="AH67" s="477">
        <f t="shared" si="53"/>
        <v>51.828400000000002</v>
      </c>
      <c r="AI67" s="477">
        <f t="shared" si="53"/>
        <v>91.08</v>
      </c>
      <c r="AJ67" s="477">
        <f t="shared" si="53"/>
        <v>17.03</v>
      </c>
      <c r="AK67" s="477">
        <f t="shared" si="53"/>
        <v>0</v>
      </c>
      <c r="AL67" s="477">
        <f t="shared" si="53"/>
        <v>0</v>
      </c>
      <c r="AM67" s="477">
        <f t="shared" si="53"/>
        <v>0</v>
      </c>
      <c r="AN67" s="477">
        <f t="shared" si="53"/>
        <v>0</v>
      </c>
      <c r="AO67" s="477">
        <f t="shared" si="53"/>
        <v>560.65840000000003</v>
      </c>
      <c r="AP67" s="477">
        <f t="shared" si="53"/>
        <v>62.37</v>
      </c>
      <c r="AQ67" s="477">
        <f t="shared" si="53"/>
        <v>0</v>
      </c>
      <c r="AR67" s="477">
        <f t="shared" si="53"/>
        <v>58.53</v>
      </c>
      <c r="AS67" s="477">
        <f t="shared" si="53"/>
        <v>0</v>
      </c>
      <c r="AT67" s="477">
        <f t="shared" si="53"/>
        <v>120.9</v>
      </c>
      <c r="AU67" s="477">
        <f t="shared" si="53"/>
        <v>841.62704000000008</v>
      </c>
      <c r="AV67" s="477">
        <f t="shared" si="53"/>
        <v>4.1166540000000005</v>
      </c>
      <c r="AW67" s="477">
        <f t="shared" si="53"/>
        <v>11.435150000000002</v>
      </c>
      <c r="AX67" s="477">
        <f t="shared" si="53"/>
        <v>0.91481200000000007</v>
      </c>
      <c r="AY67" s="477">
        <f t="shared" si="53"/>
        <v>0.45740600000000003</v>
      </c>
      <c r="AZ67" s="477">
        <f t="shared" si="53"/>
        <v>8.0046050000000015</v>
      </c>
      <c r="BA67" s="477">
        <f t="shared" si="53"/>
        <v>2.9456946400000006</v>
      </c>
      <c r="BB67" s="477">
        <f t="shared" si="53"/>
        <v>3.8879510000000002</v>
      </c>
      <c r="BC67" s="477">
        <f t="shared" si="53"/>
        <v>27.64</v>
      </c>
      <c r="BD67" s="477">
        <f t="shared" si="53"/>
        <v>31.789717</v>
      </c>
      <c r="BE67" s="477">
        <f t="shared" si="53"/>
        <v>19.211052000000002</v>
      </c>
      <c r="BF67" s="477">
        <f t="shared" si="53"/>
        <v>7.5471990000000009</v>
      </c>
      <c r="BG67" s="477">
        <f t="shared" si="53"/>
        <v>0</v>
      </c>
      <c r="BH67" s="477">
        <f t="shared" si="53"/>
        <v>21.545652224000001</v>
      </c>
      <c r="BI67" s="477">
        <f t="shared" si="53"/>
        <v>80.09</v>
      </c>
      <c r="BJ67" s="477">
        <f t="shared" si="53"/>
        <v>953.47</v>
      </c>
      <c r="BK67" s="477">
        <f t="shared" si="53"/>
        <v>190.50959900000001</v>
      </c>
      <c r="BL67" s="477">
        <f t="shared" si="53"/>
        <v>254.08903300000003</v>
      </c>
      <c r="BM67" s="477">
        <f t="shared" si="53"/>
        <v>70.107532431999999</v>
      </c>
      <c r="BN67" s="477">
        <f t="shared" si="53"/>
        <v>93.504764144000006</v>
      </c>
      <c r="BO67" s="477">
        <f t="shared" si="53"/>
        <v>98.342290000000006</v>
      </c>
      <c r="BP67" s="477">
        <f t="shared" si="53"/>
        <v>0</v>
      </c>
      <c r="BQ67" s="477">
        <f t="shared" si="53"/>
        <v>706.55</v>
      </c>
      <c r="BR67" s="477">
        <f t="shared" si="53"/>
        <v>1660.02</v>
      </c>
      <c r="BS67" s="477">
        <f t="shared" si="53"/>
        <v>288.66000000000003</v>
      </c>
      <c r="BT67" s="477">
        <f t="shared" si="53"/>
        <v>346.26</v>
      </c>
      <c r="BU67" s="477">
        <f t="shared" si="53"/>
        <v>324.45686208000001</v>
      </c>
      <c r="BV67" s="477">
        <f t="shared" si="53"/>
        <v>50.306359999999998</v>
      </c>
      <c r="BW67" s="477">
        <f t="shared" si="53"/>
        <v>374.76322207999999</v>
      </c>
      <c r="BX67" s="477">
        <f t="shared" si="53"/>
        <v>1009.6832220800001</v>
      </c>
      <c r="BY67" s="477">
        <f t="shared" si="53"/>
        <v>4931.7416220799996</v>
      </c>
      <c r="BZ67" s="477">
        <f t="shared" si="53"/>
        <v>706.55</v>
      </c>
      <c r="CA67" s="477">
        <f t="shared" si="53"/>
        <v>5638.2916220799998</v>
      </c>
      <c r="CB67" s="479"/>
    </row>
    <row r="68" spans="1:80" s="568" customFormat="1" ht="15.75" customHeight="1">
      <c r="A68" s="555">
        <v>1</v>
      </c>
      <c r="B68" s="555">
        <v>1</v>
      </c>
      <c r="C68" s="555" t="s">
        <v>3250</v>
      </c>
      <c r="D68" s="578">
        <f>VLOOKUP(C68,ISS!A:B,2,0)</f>
        <v>0.03</v>
      </c>
      <c r="E68" s="581">
        <f>IF(D68=2%,5.99%,IF(D68=2.5%,6.55%,IF(D68=3%,7.12%,IF(D68=3.5%,7.7%,IF(D68=4%,8.28%,IF(D68=5%,9.46%))))))</f>
        <v>7.1199999999999999E-2</v>
      </c>
      <c r="F68" s="556">
        <v>47</v>
      </c>
      <c r="G68" s="557">
        <v>12387</v>
      </c>
      <c r="H68" s="558" t="s">
        <v>3981</v>
      </c>
      <c r="I68" s="555" t="s">
        <v>3848</v>
      </c>
      <c r="J68" s="559" t="s">
        <v>3521</v>
      </c>
      <c r="K68" s="555" t="str">
        <f t="shared" si="38"/>
        <v>Conselheiro LafaieteVIGILANTE ARMADO - 12X36 DIURNO</v>
      </c>
      <c r="L68" s="560" t="s">
        <v>3875</v>
      </c>
      <c r="M68" s="560"/>
      <c r="N68" s="559"/>
      <c r="O68" s="559"/>
      <c r="P68" s="559"/>
      <c r="Q68" s="536">
        <f>VLOOKUP('BANCO DADOS-CUSTO TOTAL'!$K68,PARAMETROS!$E:AX,3,0)</f>
        <v>1602.86</v>
      </c>
      <c r="R68" s="536">
        <f>VLOOKUP('BANCO DADOS-CUSTO TOTAL'!$K68,PARAMETROS!$E:AY,4,0)</f>
        <v>0</v>
      </c>
      <c r="S68" s="536">
        <f>VLOOKUP('BANCO DADOS-CUSTO TOTAL'!$K68,PARAMETROS!$E:AZ,5,0)</f>
        <v>480.85799999999995</v>
      </c>
      <c r="T68" s="536">
        <f>VLOOKUP('BANCO DADOS-CUSTO TOTAL'!$K68,PARAMETROS!$E:BA,6,0)</f>
        <v>0</v>
      </c>
      <c r="U68" s="536">
        <f>VLOOKUP('BANCO DADOS-CUSTO TOTAL'!$K68,PARAMETROS!$E:BB,7,0)</f>
        <v>0</v>
      </c>
      <c r="V68" s="536">
        <f>VLOOKUP('BANCO DADOS-CUSTO TOTAL'!$K68,PARAMETROS!$E:BC,8,0)</f>
        <v>0</v>
      </c>
      <c r="W68" s="536">
        <f>VLOOKUP('BANCO DADOS-CUSTO TOTAL'!$K68,PARAMETROS!$E:BD,9,0)</f>
        <v>146.80740454545455</v>
      </c>
      <c r="X68" s="536">
        <f>VLOOKUP('BANCO DADOS-CUSTO TOTAL'!$K68,PARAMETROS!$E:BE,10,0)</f>
        <v>47.357227272727279</v>
      </c>
      <c r="Y68" s="443">
        <f t="shared" ref="Y68:Y69" si="54">TRUNC(SUM(Q68:X68),2)</f>
        <v>2277.88</v>
      </c>
      <c r="Z68" s="561">
        <v>2.5270999999999999</v>
      </c>
      <c r="AA68" s="562">
        <v>30</v>
      </c>
      <c r="AB68" s="563">
        <f>IF(J68="EFETIVO",IF(AND(L68="",M68=""),$M$5,IF(AND(L68&lt;&gt;"",M68&lt;&gt;"",MONTH(L68)=MONTH(M68),YEAR(L68)=YEAR(M68)),M68-L68+1,IF(AND(L68&lt;&gt;"",M68&lt;&gt;"",MONTH(L68)&lt;&gt;MONTH(M68)),DAY(M68),IF(AND(L68="",M68&lt;&gt;"",MONTH($H$5)=MONTH(M68),YEAR(M68)=YEAR($H$5)),M68-$K$5+1,IF(AND(L68&lt;&gt;"",M68="",MONTH($K$5)=MONTH(L68),YEAR($K$5)=YEAR(L68)),30-DAY(L68)+1,$M$5))))),0)</f>
        <v>30</v>
      </c>
      <c r="AC68" s="564">
        <f>(Y68/30)*(AA68-Z68)</f>
        <v>2085.998981733333</v>
      </c>
      <c r="AD68" s="565">
        <f>Y68</f>
        <v>2277.88</v>
      </c>
      <c r="AE68" s="565">
        <f>IF(AND(J68="EFETIVO",N68="FÉRIAS"),AD68,IF(J68="EFETIVO",AC68,0))</f>
        <v>2085.998981733333</v>
      </c>
      <c r="AF68" s="537">
        <f>IF(J68="EFETIVO",VLOOKUP(K68,PARAMETROS!$E:AX,11,0),0)</f>
        <v>112.9</v>
      </c>
      <c r="AG68" s="537">
        <f>VLOOKUP(H68,'VA E VT - APOIO.LIMPEZA'!F:AX,14,0)</f>
        <v>194.27850000000001</v>
      </c>
      <c r="AH68" s="537">
        <f>VLOOKUP($H68,'VA E VT - APOIO.LIMPEZA'!$F:AY,20,0)</f>
        <v>11.829575012000006</v>
      </c>
      <c r="AI68" s="537">
        <f>IF($J68="EFETIVO",VLOOKUP($K68,PARAMETROS!$E:BA,14,0),0)</f>
        <v>91.08</v>
      </c>
      <c r="AJ68" s="537">
        <f>IF($J68="EFETIVO",VLOOKUP($K68,PARAMETROS!$E:BB,15,0),0)</f>
        <v>17.03</v>
      </c>
      <c r="AK68" s="537"/>
      <c r="AL68" s="537"/>
      <c r="AM68" s="537"/>
      <c r="AN68" s="537"/>
      <c r="AO68" s="448">
        <f t="shared" ref="AO68:AO69" si="55">SUM(AF68:AN68)</f>
        <v>427.11807501199996</v>
      </c>
      <c r="AP68" s="537">
        <f>IF($J68="EFETIVO",VLOOKUP($K68,PARAMETROS!$E:BH,20,0),0)</f>
        <v>62.37</v>
      </c>
      <c r="AQ68" s="564"/>
      <c r="AR68" s="537">
        <f>IF($J68="EFETIVO",VLOOKUP($K68,PARAMETROS!$E:BJ,22,0),0)</f>
        <v>58.53</v>
      </c>
      <c r="AS68" s="564"/>
      <c r="AT68" s="448">
        <f t="shared" ref="AT68:AT69" si="56">(AP68+AQ68+AR68+AS68)</f>
        <v>120.9</v>
      </c>
      <c r="AU68" s="566">
        <f>$AU$10*AC68</f>
        <v>767.6476252778665</v>
      </c>
      <c r="AV68" s="566">
        <f t="shared" si="40"/>
        <v>4.1001840000000005</v>
      </c>
      <c r="AW68" s="566">
        <f t="shared" si="40"/>
        <v>11.3894</v>
      </c>
      <c r="AX68" s="566">
        <f t="shared" si="40"/>
        <v>0.91115200000000007</v>
      </c>
      <c r="AY68" s="566">
        <f t="shared" si="39"/>
        <v>0.45557600000000004</v>
      </c>
      <c r="AZ68" s="566">
        <f t="shared" si="39"/>
        <v>7.9725800000000007</v>
      </c>
      <c r="BA68" s="566">
        <f t="shared" si="39"/>
        <v>2.9339094400000003</v>
      </c>
      <c r="BB68" s="566">
        <f t="shared" si="39"/>
        <v>3.8723960000000002</v>
      </c>
      <c r="BC68" s="448">
        <f t="shared" ref="BC68:BC69" si="57">TRUNC(SUM(AW68:BB68),2)</f>
        <v>27.53</v>
      </c>
      <c r="BD68" s="566">
        <f t="shared" ref="BD68:BH69" si="58">IF($J68="EFETIVO",$Y68*BD$10,0)</f>
        <v>31.662531999999999</v>
      </c>
      <c r="BE68" s="566">
        <f t="shared" si="58"/>
        <v>19.134191999999999</v>
      </c>
      <c r="BF68" s="566">
        <f t="shared" si="58"/>
        <v>7.517004</v>
      </c>
      <c r="BG68" s="566">
        <f t="shared" si="58"/>
        <v>0</v>
      </c>
      <c r="BH68" s="566">
        <f t="shared" si="58"/>
        <v>21.459451904000002</v>
      </c>
      <c r="BI68" s="448">
        <f t="shared" ref="BI68:BI69" si="59">TRUNC(SUM(BD68:BH68),2)</f>
        <v>79.77</v>
      </c>
      <c r="BJ68" s="448">
        <f t="shared" ref="BJ68:BJ69" si="60">TRUNC((BI68+BC68+AV68+AU68),2)</f>
        <v>879.04</v>
      </c>
      <c r="BK68" s="566">
        <f t="shared" si="18"/>
        <v>189.74740400000002</v>
      </c>
      <c r="BL68" s="566">
        <f t="shared" si="19"/>
        <v>253.07246800000001</v>
      </c>
      <c r="BM68" s="566">
        <f>$BM$10*BK68</f>
        <v>69.827044672</v>
      </c>
      <c r="BN68" s="566">
        <f>$BN$10*BL68</f>
        <v>93.130668224000004</v>
      </c>
      <c r="BO68" s="566">
        <f>$BO$10*AE68</f>
        <v>89.69795621453332</v>
      </c>
      <c r="BP68" s="566"/>
      <c r="BQ68" s="448">
        <f t="shared" ref="BQ68:BQ69" si="61">TRUNC(SUM(BK68:BP68),2)</f>
        <v>695.47</v>
      </c>
      <c r="BR68" s="448">
        <f t="shared" ref="BR68:BR69" si="62">TRUNC((BJ68+BQ68),2)</f>
        <v>1574.51</v>
      </c>
      <c r="BS68" s="566">
        <f>IF($J68="EFETIVO",BS$10,0)</f>
        <v>288.66000000000003</v>
      </c>
      <c r="BT68" s="566">
        <f>IF($J68="EFETIVO",BT$10,0)</f>
        <v>346.26</v>
      </c>
      <c r="BU68" s="566">
        <f>((AC68+AO68+AT68+BJ68+BS68+BT68)*E68)</f>
        <v>295.33596644026767</v>
      </c>
      <c r="BV68" s="566">
        <f>BQ68*E68</f>
        <v>49.517464000000004</v>
      </c>
      <c r="BW68" s="566">
        <f>SUM(BU68:BV68)</f>
        <v>344.85343044026769</v>
      </c>
      <c r="BX68" s="566">
        <f>BS68+BT68+BW68</f>
        <v>979.7734304402677</v>
      </c>
      <c r="BY68" s="448">
        <f t="shared" ref="BY68:BY69" si="63">(AC68+AO68+AT68+BJ68+BX68)</f>
        <v>4492.8304871856008</v>
      </c>
      <c r="BZ68" s="566">
        <f>BQ68</f>
        <v>695.47</v>
      </c>
      <c r="CA68" s="566">
        <f>BY68+BZ68</f>
        <v>5188.300487185601</v>
      </c>
      <c r="CB68" s="567" t="s">
        <v>4050</v>
      </c>
    </row>
    <row r="69" spans="1:80" s="450" customFormat="1" ht="15.75" customHeight="1">
      <c r="A69" s="435">
        <v>1</v>
      </c>
      <c r="B69" s="435">
        <v>1</v>
      </c>
      <c r="C69" s="435" t="s">
        <v>3250</v>
      </c>
      <c r="D69" s="436">
        <f>VLOOKUP(C69,ISS!A:B,2,0)</f>
        <v>0.03</v>
      </c>
      <c r="E69" s="437">
        <f>IF(D69=2%,5.99%,IF(D69=2.5%,6.55%,IF(D69=3%,7.12%,IF(D69=3.5%,7.7%,IF(D69=4%,8.28%,IF(D69=5%,9.46%))))))</f>
        <v>7.1199999999999999E-2</v>
      </c>
      <c r="F69" s="438">
        <v>48</v>
      </c>
      <c r="G69" s="439">
        <v>12388</v>
      </c>
      <c r="H69" s="440" t="s">
        <v>3982</v>
      </c>
      <c r="I69" s="435" t="s">
        <v>3848</v>
      </c>
      <c r="J69" s="102" t="s">
        <v>3521</v>
      </c>
      <c r="K69" s="435" t="str">
        <f>CONCATENATE(C69,I69)</f>
        <v>Conselheiro LafaieteVIGILANTE ARMADO - 12X36 DIURNO</v>
      </c>
      <c r="L69" s="441" t="s">
        <v>4049</v>
      </c>
      <c r="M69" s="441"/>
      <c r="N69" s="102"/>
      <c r="O69" s="102"/>
      <c r="P69" s="102"/>
      <c r="Q69" s="442">
        <f>VLOOKUP('BANCO DADOS-CUSTO TOTAL'!$K69,PARAMETROS!$E:AX,3,0)</f>
        <v>1602.86</v>
      </c>
      <c r="R69" s="442">
        <f>VLOOKUP('BANCO DADOS-CUSTO TOTAL'!$K69,PARAMETROS!$E:AY,4,0)</f>
        <v>0</v>
      </c>
      <c r="S69" s="442">
        <f>VLOOKUP('BANCO DADOS-CUSTO TOTAL'!$K69,PARAMETROS!$E:AZ,5,0)</f>
        <v>480.85799999999995</v>
      </c>
      <c r="T69" s="442">
        <f>VLOOKUP('BANCO DADOS-CUSTO TOTAL'!$K69,PARAMETROS!$E:BA,6,0)</f>
        <v>0</v>
      </c>
      <c r="U69" s="442">
        <f>VLOOKUP('BANCO DADOS-CUSTO TOTAL'!$K69,PARAMETROS!$E:BB,7,0)</f>
        <v>0</v>
      </c>
      <c r="V69" s="442">
        <f>VLOOKUP('BANCO DADOS-CUSTO TOTAL'!$K69,PARAMETROS!$E:BC,8,0)</f>
        <v>0</v>
      </c>
      <c r="W69" s="442">
        <f>VLOOKUP('BANCO DADOS-CUSTO TOTAL'!$K69,PARAMETROS!$E:BD,9,0)</f>
        <v>146.80740454545455</v>
      </c>
      <c r="X69" s="442">
        <f>VLOOKUP('BANCO DADOS-CUSTO TOTAL'!$K69,PARAMETROS!$E:BE,10,0)</f>
        <v>47.357227272727279</v>
      </c>
      <c r="Y69" s="443">
        <f t="shared" si="54"/>
        <v>2277.88</v>
      </c>
      <c r="Z69" s="456"/>
      <c r="AA69" s="444">
        <v>30</v>
      </c>
      <c r="AB69" s="445">
        <f>IF(J69="EFETIVO",IF(AND(L69="",M69=""),$M$5,IF(AND(L69&lt;&gt;"",M69&lt;&gt;"",MONTH(L69)=MONTH(M69),YEAR(L69)=YEAR(M69)),M69-L69+1,IF(AND(L69&lt;&gt;"",M69&lt;&gt;"",MONTH(L69)&lt;&gt;MONTH(M69)),DAY(M69),IF(AND(L69="",M69&lt;&gt;"",MONTH($H$5)=MONTH(M69),YEAR(M69)=YEAR($H$5)),M69-$K$5+1,IF(AND(L69&lt;&gt;"",M69="",MONTH($K$5)=MONTH(L69),YEAR($K$5)=YEAR(L69)),30-DAY(L69)+1,$M$5))))),0)</f>
        <v>30</v>
      </c>
      <c r="AC69" s="446">
        <f>(Y69/30)*(AA69-Z69)</f>
        <v>2277.88</v>
      </c>
      <c r="AD69" s="447">
        <f>Y69</f>
        <v>2277.88</v>
      </c>
      <c r="AE69" s="447">
        <f>IF(AND(J69="EFETIVO",N69="FÉRIAS"),AD69,IF(J69="EFETIVO",AC69,0))</f>
        <v>2277.88</v>
      </c>
      <c r="AF69" s="443">
        <f>IF(J69="EFETIVO",VLOOKUP(K69,PARAMETROS!$E:AX,11,0),0)</f>
        <v>112.9</v>
      </c>
      <c r="AG69" s="443">
        <f>VLOOKUP(H69,'VA E VT - APOIO.LIMPEZA'!F:AX,14,0)</f>
        <v>223.06049999999999</v>
      </c>
      <c r="AH69" s="443">
        <f>VLOOKUP($H69,'VA E VT - APOIO.LIMPEZA'!$F:AY,20,0)</f>
        <v>18.528400000000005</v>
      </c>
      <c r="AI69" s="443">
        <f>IF($J69="EFETIVO",VLOOKUP($K69,PARAMETROS!$E:BA,14,0),0)</f>
        <v>91.08</v>
      </c>
      <c r="AJ69" s="443">
        <f>IF($J69="EFETIVO",VLOOKUP($K69,PARAMETROS!$E:BB,15,0),0)</f>
        <v>17.03</v>
      </c>
      <c r="AK69" s="443"/>
      <c r="AL69" s="443"/>
      <c r="AM69" s="443"/>
      <c r="AN69" s="443"/>
      <c r="AO69" s="448">
        <f t="shared" si="55"/>
        <v>462.59890000000007</v>
      </c>
      <c r="AP69" s="443">
        <f>IF($J69="EFETIVO",VLOOKUP($K69,PARAMETROS!$E:BH,20,0),0)</f>
        <v>62.37</v>
      </c>
      <c r="AQ69" s="446"/>
      <c r="AR69" s="443">
        <f>IF($J69="EFETIVO",VLOOKUP($K69,PARAMETROS!$E:BJ,22,0),0)</f>
        <v>58.53</v>
      </c>
      <c r="AS69" s="446"/>
      <c r="AT69" s="448">
        <f t="shared" si="56"/>
        <v>120.9</v>
      </c>
      <c r="AU69" s="448">
        <f>$AU$10*AC69</f>
        <v>838.25984000000005</v>
      </c>
      <c r="AV69" s="448">
        <f t="shared" si="40"/>
        <v>4.1001840000000005</v>
      </c>
      <c r="AW69" s="448">
        <f t="shared" si="40"/>
        <v>11.3894</v>
      </c>
      <c r="AX69" s="448">
        <f t="shared" si="40"/>
        <v>0.91115200000000007</v>
      </c>
      <c r="AY69" s="448">
        <f t="shared" si="39"/>
        <v>0.45557600000000004</v>
      </c>
      <c r="AZ69" s="448">
        <f t="shared" si="39"/>
        <v>7.9725800000000007</v>
      </c>
      <c r="BA69" s="448">
        <f t="shared" si="39"/>
        <v>2.9339094400000003</v>
      </c>
      <c r="BB69" s="448">
        <f t="shared" si="39"/>
        <v>3.8723960000000002</v>
      </c>
      <c r="BC69" s="448">
        <f t="shared" si="57"/>
        <v>27.53</v>
      </c>
      <c r="BD69" s="448">
        <f t="shared" si="58"/>
        <v>31.662531999999999</v>
      </c>
      <c r="BE69" s="448">
        <f t="shared" si="58"/>
        <v>19.134191999999999</v>
      </c>
      <c r="BF69" s="448">
        <f t="shared" si="58"/>
        <v>7.517004</v>
      </c>
      <c r="BG69" s="448">
        <f t="shared" si="58"/>
        <v>0</v>
      </c>
      <c r="BH69" s="448">
        <f t="shared" si="58"/>
        <v>21.459451904000002</v>
      </c>
      <c r="BI69" s="448">
        <f t="shared" si="59"/>
        <v>79.77</v>
      </c>
      <c r="BJ69" s="448">
        <f t="shared" si="60"/>
        <v>949.66</v>
      </c>
      <c r="BK69" s="448">
        <f t="shared" si="18"/>
        <v>189.74740400000002</v>
      </c>
      <c r="BL69" s="448">
        <f t="shared" si="19"/>
        <v>253.07246800000001</v>
      </c>
      <c r="BM69" s="448">
        <f>$BM$10*BK69</f>
        <v>69.827044672</v>
      </c>
      <c r="BN69" s="448">
        <f>$BN$10*BL69</f>
        <v>93.130668224000004</v>
      </c>
      <c r="BO69" s="448">
        <f>$BO$10*AE69</f>
        <v>97.94883999999999</v>
      </c>
      <c r="BP69" s="448"/>
      <c r="BQ69" s="448">
        <f t="shared" si="61"/>
        <v>703.72</v>
      </c>
      <c r="BR69" s="448">
        <f t="shared" si="62"/>
        <v>1653.38</v>
      </c>
      <c r="BS69" s="448">
        <f>IF($J69="EFETIVO",BS$10,0)</f>
        <v>288.66000000000003</v>
      </c>
      <c r="BT69" s="448">
        <f>IF($J69="EFETIVO",BT$10,0)</f>
        <v>346.26</v>
      </c>
      <c r="BU69" s="448">
        <f>((AC69+AO69+AT69+BJ69+BS69+BT69)*E69)</f>
        <v>316.55227368000004</v>
      </c>
      <c r="BV69" s="448">
        <f>BQ69*E69</f>
        <v>50.104863999999999</v>
      </c>
      <c r="BW69" s="448">
        <f>SUM(BU69:BV69)</f>
        <v>366.65713768000006</v>
      </c>
      <c r="BX69" s="448">
        <f>BS69+BT69+BW69</f>
        <v>1001.5771376800001</v>
      </c>
      <c r="BY69" s="448">
        <f t="shared" si="63"/>
        <v>4812.6160376799999</v>
      </c>
      <c r="BZ69" s="448">
        <f>BQ69</f>
        <v>703.72</v>
      </c>
      <c r="CA69" s="448">
        <f>BY69+BZ69</f>
        <v>5516.3360376800001</v>
      </c>
      <c r="CB69" s="449"/>
    </row>
    <row r="70" spans="1:80" s="480" customFormat="1" ht="15.75" customHeight="1">
      <c r="A70" s="462"/>
      <c r="B70" s="462"/>
      <c r="C70" s="462" t="s">
        <v>3889</v>
      </c>
      <c r="D70" s="463"/>
      <c r="E70" s="464"/>
      <c r="F70" s="465"/>
      <c r="G70" s="466"/>
      <c r="H70" s="467"/>
      <c r="I70" s="462"/>
      <c r="J70" s="468"/>
      <c r="K70" s="462"/>
      <c r="L70" s="469"/>
      <c r="M70" s="469"/>
      <c r="N70" s="468"/>
      <c r="O70" s="468"/>
      <c r="P70" s="468"/>
      <c r="Q70" s="470"/>
      <c r="R70" s="470"/>
      <c r="S70" s="470"/>
      <c r="T70" s="470"/>
      <c r="U70" s="470"/>
      <c r="V70" s="470"/>
      <c r="W70" s="470"/>
      <c r="X70" s="470"/>
      <c r="Y70" s="471"/>
      <c r="Z70" s="472"/>
      <c r="AA70" s="473"/>
      <c r="AB70" s="474"/>
      <c r="AC70" s="475"/>
      <c r="AD70" s="476"/>
      <c r="AE70" s="470"/>
      <c r="AF70" s="477">
        <f>SUBTOTAL(9,AF68:AF69)</f>
        <v>225.8</v>
      </c>
      <c r="AG70" s="477">
        <f t="shared" ref="AG70:BZ70" si="64">SUBTOTAL(9,AG68:AG69)</f>
        <v>417.339</v>
      </c>
      <c r="AH70" s="477">
        <f t="shared" si="64"/>
        <v>30.357975012000011</v>
      </c>
      <c r="AI70" s="477">
        <f t="shared" si="64"/>
        <v>182.16</v>
      </c>
      <c r="AJ70" s="477">
        <f t="shared" si="64"/>
        <v>34.06</v>
      </c>
      <c r="AK70" s="477">
        <f t="shared" si="64"/>
        <v>0</v>
      </c>
      <c r="AL70" s="477">
        <f t="shared" si="64"/>
        <v>0</v>
      </c>
      <c r="AM70" s="477">
        <f t="shared" si="64"/>
        <v>0</v>
      </c>
      <c r="AN70" s="477">
        <f t="shared" si="64"/>
        <v>0</v>
      </c>
      <c r="AO70" s="477">
        <f t="shared" si="64"/>
        <v>889.71697501200003</v>
      </c>
      <c r="AP70" s="477">
        <f t="shared" si="64"/>
        <v>124.74</v>
      </c>
      <c r="AQ70" s="477">
        <f t="shared" si="64"/>
        <v>0</v>
      </c>
      <c r="AR70" s="477">
        <f t="shared" si="64"/>
        <v>117.06</v>
      </c>
      <c r="AS70" s="477">
        <f t="shared" si="64"/>
        <v>0</v>
      </c>
      <c r="AT70" s="477">
        <f t="shared" si="64"/>
        <v>241.8</v>
      </c>
      <c r="AU70" s="477">
        <f t="shared" si="64"/>
        <v>1605.9074652778665</v>
      </c>
      <c r="AV70" s="477">
        <f t="shared" si="64"/>
        <v>8.200368000000001</v>
      </c>
      <c r="AW70" s="477">
        <f t="shared" si="64"/>
        <v>22.7788</v>
      </c>
      <c r="AX70" s="477">
        <f t="shared" si="64"/>
        <v>1.8223040000000001</v>
      </c>
      <c r="AY70" s="477">
        <f t="shared" si="64"/>
        <v>0.91115200000000007</v>
      </c>
      <c r="AZ70" s="477">
        <f t="shared" si="64"/>
        <v>15.945160000000001</v>
      </c>
      <c r="BA70" s="477">
        <f t="shared" si="64"/>
        <v>5.8678188800000006</v>
      </c>
      <c r="BB70" s="477">
        <f t="shared" si="64"/>
        <v>7.7447920000000003</v>
      </c>
      <c r="BC70" s="477">
        <f t="shared" si="64"/>
        <v>55.06</v>
      </c>
      <c r="BD70" s="477">
        <f t="shared" si="64"/>
        <v>63.325063999999998</v>
      </c>
      <c r="BE70" s="477">
        <f t="shared" si="64"/>
        <v>38.268383999999998</v>
      </c>
      <c r="BF70" s="477">
        <f t="shared" si="64"/>
        <v>15.034008</v>
      </c>
      <c r="BG70" s="477">
        <f t="shared" si="64"/>
        <v>0</v>
      </c>
      <c r="BH70" s="477">
        <f t="shared" si="64"/>
        <v>42.918903808000003</v>
      </c>
      <c r="BI70" s="477">
        <f t="shared" si="64"/>
        <v>159.54</v>
      </c>
      <c r="BJ70" s="477">
        <f t="shared" si="64"/>
        <v>1828.6999999999998</v>
      </c>
      <c r="BK70" s="477">
        <f t="shared" si="64"/>
        <v>379.49480800000003</v>
      </c>
      <c r="BL70" s="477">
        <f t="shared" si="64"/>
        <v>506.14493600000003</v>
      </c>
      <c r="BM70" s="477">
        <f t="shared" si="64"/>
        <v>139.654089344</v>
      </c>
      <c r="BN70" s="477">
        <f t="shared" si="64"/>
        <v>186.26133644800001</v>
      </c>
      <c r="BO70" s="477">
        <f t="shared" si="64"/>
        <v>187.64679621453331</v>
      </c>
      <c r="BP70" s="477">
        <f t="shared" si="64"/>
        <v>0</v>
      </c>
      <c r="BQ70" s="477">
        <f t="shared" si="64"/>
        <v>1399.19</v>
      </c>
      <c r="BR70" s="477">
        <f t="shared" si="64"/>
        <v>3227.8900000000003</v>
      </c>
      <c r="BS70" s="477">
        <f t="shared" si="64"/>
        <v>577.32000000000005</v>
      </c>
      <c r="BT70" s="477">
        <f t="shared" si="64"/>
        <v>692.52</v>
      </c>
      <c r="BU70" s="477">
        <f t="shared" si="64"/>
        <v>611.88824012026771</v>
      </c>
      <c r="BV70" s="477">
        <f t="shared" si="64"/>
        <v>99.62232800000001</v>
      </c>
      <c r="BW70" s="477">
        <f t="shared" si="64"/>
        <v>711.51056812026775</v>
      </c>
      <c r="BX70" s="477">
        <f t="shared" si="64"/>
        <v>1981.3505681202678</v>
      </c>
      <c r="BY70" s="477">
        <f t="shared" si="64"/>
        <v>9305.4465248656015</v>
      </c>
      <c r="BZ70" s="477">
        <f t="shared" si="64"/>
        <v>1399.19</v>
      </c>
      <c r="CA70" s="477">
        <f>SUBTOTAL(9,CA68:CA69)</f>
        <v>10704.6365248656</v>
      </c>
      <c r="CB70" s="479"/>
    </row>
    <row r="71" spans="1:80" s="514" customFormat="1" ht="15.75" customHeight="1">
      <c r="A71" s="499">
        <v>1</v>
      </c>
      <c r="B71" s="499">
        <v>0</v>
      </c>
      <c r="C71" s="499" t="s">
        <v>3252</v>
      </c>
      <c r="D71" s="577">
        <f>VLOOKUP(C71,ISS!A:B,2,0)</f>
        <v>3.5000000000000003E-2</v>
      </c>
      <c r="E71" s="582">
        <f>IF(D71=2%,5.99%,IF(D71=2.5%,6.55%,IF(D71=3%,7.12%,IF(D71=3.5%,7.7%,IF(D71=4%,8.28%,IF(D71=5%,9.46%))))))</f>
        <v>7.6999999999999999E-2</v>
      </c>
      <c r="F71" s="500">
        <v>49</v>
      </c>
      <c r="G71" s="501">
        <v>12389</v>
      </c>
      <c r="H71" s="502" t="s">
        <v>3983</v>
      </c>
      <c r="I71" s="499" t="s">
        <v>3848</v>
      </c>
      <c r="J71" s="503" t="s">
        <v>3916</v>
      </c>
      <c r="K71" s="499" t="str">
        <f t="shared" si="38"/>
        <v>ContagemVIGILANTE ARMADO - 12X36 DIURNO</v>
      </c>
      <c r="L71" s="504" t="s">
        <v>3875</v>
      </c>
      <c r="M71" s="504"/>
      <c r="N71" s="503" t="s">
        <v>3532</v>
      </c>
      <c r="O71" s="503" t="s">
        <v>3917</v>
      </c>
      <c r="P71" s="503"/>
      <c r="Q71" s="505">
        <f>VLOOKUP('BANCO DADOS-CUSTO TOTAL'!$K71,PARAMETROS!$E:AX,3,0)</f>
        <v>1602.86</v>
      </c>
      <c r="R71" s="505">
        <f>VLOOKUP('BANCO DADOS-CUSTO TOTAL'!$K71,PARAMETROS!$E:AY,4,0)</f>
        <v>0</v>
      </c>
      <c r="S71" s="505">
        <f>VLOOKUP('BANCO DADOS-CUSTO TOTAL'!$K71,PARAMETROS!$E:AZ,5,0)</f>
        <v>480.85799999999995</v>
      </c>
      <c r="T71" s="505">
        <f>VLOOKUP('BANCO DADOS-CUSTO TOTAL'!$K71,PARAMETROS!$E:BA,6,0)</f>
        <v>0</v>
      </c>
      <c r="U71" s="505">
        <f>VLOOKUP('BANCO DADOS-CUSTO TOTAL'!$K71,PARAMETROS!$E:BB,7,0)</f>
        <v>0</v>
      </c>
      <c r="V71" s="505">
        <f>VLOOKUP('BANCO DADOS-CUSTO TOTAL'!$K71,PARAMETROS!$E:BC,8,0)</f>
        <v>0</v>
      </c>
      <c r="W71" s="505">
        <f>VLOOKUP('BANCO DADOS-CUSTO TOTAL'!$K71,PARAMETROS!$E:BD,9,0)</f>
        <v>146.80740454545455</v>
      </c>
      <c r="X71" s="505">
        <f>VLOOKUP('BANCO DADOS-CUSTO TOTAL'!$K71,PARAMETROS!$E:BE,10,0)</f>
        <v>47.357227272727279</v>
      </c>
      <c r="Y71" s="506">
        <f t="shared" ref="Y71:Y75" si="65">TRUNC(SUM(Q71:X71),2)</f>
        <v>2277.88</v>
      </c>
      <c r="Z71" s="507"/>
      <c r="AA71" s="508">
        <v>0</v>
      </c>
      <c r="AB71" s="509">
        <f>IF(J71="EFETIVO",IF(AND(L71="",M71=""),$M$5,IF(AND(L71&lt;&gt;"",M71&lt;&gt;"",MONTH(L71)=MONTH(M71),YEAR(L71)=YEAR(M71)),M71-L71+1,IF(AND(L71&lt;&gt;"",M71&lt;&gt;"",MONTH(L71)&lt;&gt;MONTH(M71)),DAY(M71),IF(AND(L71="",M71&lt;&gt;"",MONTH($H$5)=MONTH(M71),YEAR(M71)=YEAR($H$5)),M71-$K$5+1,IF(AND(L71&lt;&gt;"",M71="",MONTH($K$5)=MONTH(L71),YEAR($K$5)=YEAR(L71)),30-DAY(L71)+1,$M$5))))),0)</f>
        <v>0</v>
      </c>
      <c r="AC71" s="510">
        <f>(Y71/30)*(AA71-Z71)</f>
        <v>0</v>
      </c>
      <c r="AD71" s="511">
        <f>Y71</f>
        <v>2277.88</v>
      </c>
      <c r="AE71" s="511">
        <f>IF(AND(J71="EFETIVO",N71="FÉRIAS"),AD71,IF(J71="EFETIVO",AC71,0))</f>
        <v>0</v>
      </c>
      <c r="AF71" s="506">
        <f>IF(J71="EFETIVO",VLOOKUP(K71,PARAMETROS!$E:AX,11,0),0)</f>
        <v>0</v>
      </c>
      <c r="AG71" s="506">
        <f>VLOOKUP(H71,'VA E VT - APOIO.LIMPEZA'!F:AX,14,0)</f>
        <v>0</v>
      </c>
      <c r="AH71" s="506">
        <f>VLOOKUP($H71,'VA E VT - APOIO.LIMPEZA'!$F:AY,20,0)</f>
        <v>0</v>
      </c>
      <c r="AI71" s="506">
        <f>IF($J71="EFETIVO",VLOOKUP($K71,PARAMETROS!$E:BA,14,0),0)</f>
        <v>0</v>
      </c>
      <c r="AJ71" s="506">
        <f>IF($J71="EFETIVO",VLOOKUP($K71,PARAMETROS!$E:BB,15,0),0)</f>
        <v>0</v>
      </c>
      <c r="AK71" s="506"/>
      <c r="AL71" s="506"/>
      <c r="AM71" s="506"/>
      <c r="AN71" s="506"/>
      <c r="AO71" s="512">
        <f t="shared" ref="AO71:AO75" si="66">SUM(AF71:AN71)</f>
        <v>0</v>
      </c>
      <c r="AP71" s="506">
        <f>IF($J71="EFETIVO",VLOOKUP($K71,PARAMETROS!$E:BH,20,0),0)</f>
        <v>0</v>
      </c>
      <c r="AQ71" s="510"/>
      <c r="AR71" s="506">
        <f>IF($J71="EFETIVO",VLOOKUP($K71,PARAMETROS!$E:BJ,22,0),0)</f>
        <v>0</v>
      </c>
      <c r="AS71" s="510"/>
      <c r="AT71" s="512">
        <f t="shared" ref="AT71:AT75" si="67">(AP71+AQ71+AR71+AS71)</f>
        <v>0</v>
      </c>
      <c r="AU71" s="512">
        <f>$AU$10*AC71</f>
        <v>0</v>
      </c>
      <c r="AV71" s="512">
        <f t="shared" si="40"/>
        <v>0</v>
      </c>
      <c r="AW71" s="512">
        <f t="shared" si="40"/>
        <v>0</v>
      </c>
      <c r="AX71" s="512">
        <f t="shared" si="40"/>
        <v>0</v>
      </c>
      <c r="AY71" s="512">
        <f t="shared" si="39"/>
        <v>0</v>
      </c>
      <c r="AZ71" s="512">
        <f t="shared" si="39"/>
        <v>0</v>
      </c>
      <c r="BA71" s="512">
        <f t="shared" si="39"/>
        <v>0</v>
      </c>
      <c r="BB71" s="512">
        <f t="shared" si="39"/>
        <v>0</v>
      </c>
      <c r="BC71" s="512">
        <f t="shared" ref="BC71:BC75" si="68">TRUNC(SUM(AW71:BB71),2)</f>
        <v>0</v>
      </c>
      <c r="BD71" s="512">
        <f t="shared" ref="BD71:BH75" si="69">IF($J71="EFETIVO",$Y71*BD$10,0)</f>
        <v>0</v>
      </c>
      <c r="BE71" s="512">
        <f t="shared" si="69"/>
        <v>0</v>
      </c>
      <c r="BF71" s="512">
        <f t="shared" si="69"/>
        <v>0</v>
      </c>
      <c r="BG71" s="512">
        <f t="shared" si="69"/>
        <v>0</v>
      </c>
      <c r="BH71" s="512">
        <f t="shared" si="69"/>
        <v>0</v>
      </c>
      <c r="BI71" s="512">
        <f t="shared" ref="BI71:BI75" si="70">TRUNC(SUM(BD71:BH71),2)</f>
        <v>0</v>
      </c>
      <c r="BJ71" s="512">
        <f t="shared" ref="BJ71:BJ75" si="71">TRUNC((BI71+BC71+AV71+AU71),2)</f>
        <v>0</v>
      </c>
      <c r="BK71" s="512">
        <f t="shared" si="18"/>
        <v>0</v>
      </c>
      <c r="BL71" s="512">
        <f t="shared" si="19"/>
        <v>0</v>
      </c>
      <c r="BM71" s="512">
        <f>$BM$10*BK71</f>
        <v>0</v>
      </c>
      <c r="BN71" s="512">
        <f>$BN$10*BL71</f>
        <v>0</v>
      </c>
      <c r="BO71" s="512">
        <f>$BO$10*AE71</f>
        <v>0</v>
      </c>
      <c r="BP71" s="512"/>
      <c r="BQ71" s="512">
        <f t="shared" ref="BQ71:BQ75" si="72">TRUNC(SUM(BK71:BP71),2)</f>
        <v>0</v>
      </c>
      <c r="BR71" s="512">
        <f t="shared" ref="BR71:BR75" si="73">TRUNC((BJ71+BQ71),2)</f>
        <v>0</v>
      </c>
      <c r="BS71" s="512">
        <f t="shared" ref="BS71:BT75" si="74">IF($J71="EFETIVO",BS$10,0)</f>
        <v>0</v>
      </c>
      <c r="BT71" s="512">
        <f t="shared" si="74"/>
        <v>0</v>
      </c>
      <c r="BU71" s="512">
        <f>((AC71+AO71+AT71+BJ71+BS71+BT71)*E71)</f>
        <v>0</v>
      </c>
      <c r="BV71" s="512">
        <f>BQ71*E71</f>
        <v>0</v>
      </c>
      <c r="BW71" s="512">
        <f>SUM(BU71:BV71)</f>
        <v>0</v>
      </c>
      <c r="BX71" s="512">
        <f>BS71+BT71+BW71</f>
        <v>0</v>
      </c>
      <c r="BY71" s="512">
        <f t="shared" ref="BY71:BY75" si="75">(AC71+AO71+AT71+BJ71+BX71)</f>
        <v>0</v>
      </c>
      <c r="BZ71" s="512">
        <f>BQ71</f>
        <v>0</v>
      </c>
      <c r="CA71" s="512">
        <f>BY71+BZ71</f>
        <v>0</v>
      </c>
      <c r="CB71" s="513" t="s">
        <v>3920</v>
      </c>
    </row>
    <row r="72" spans="1:80" s="514" customFormat="1" ht="15.75" customHeight="1">
      <c r="A72" s="499">
        <v>1</v>
      </c>
      <c r="B72" s="499">
        <v>1</v>
      </c>
      <c r="C72" s="499" t="s">
        <v>3252</v>
      </c>
      <c r="D72" s="577">
        <f>VLOOKUP(C72,ISS!A:B,2,0)</f>
        <v>3.5000000000000003E-2</v>
      </c>
      <c r="E72" s="582">
        <f>IF(D72=2%,5.99%,IF(D72=2.5%,6.55%,IF(D72=3%,7.12%,IF(D72=3.5%,7.7%,IF(D72=4%,8.28%,IF(D72=5%,9.46%))))))</f>
        <v>7.6999999999999999E-2</v>
      </c>
      <c r="F72" s="500">
        <v>166</v>
      </c>
      <c r="G72" s="501">
        <v>123166</v>
      </c>
      <c r="H72" s="502" t="s">
        <v>4054</v>
      </c>
      <c r="I72" s="499" t="s">
        <v>3848</v>
      </c>
      <c r="J72" s="503" t="s">
        <v>3521</v>
      </c>
      <c r="K72" s="499" t="str">
        <f>CONCATENATE(C72,I72)</f>
        <v>ContagemVIGILANTE ARMADO - 12X36 DIURNO</v>
      </c>
      <c r="L72" s="504" t="s">
        <v>3917</v>
      </c>
      <c r="M72" s="504"/>
      <c r="N72" s="503"/>
      <c r="O72" s="503"/>
      <c r="P72" s="503"/>
      <c r="Q72" s="505">
        <f>VLOOKUP('BANCO DADOS-CUSTO TOTAL'!$K72,PARAMETROS!$E:AX,3,0)</f>
        <v>1602.86</v>
      </c>
      <c r="R72" s="505">
        <f>VLOOKUP('BANCO DADOS-CUSTO TOTAL'!$K72,PARAMETROS!$E:AY,4,0)</f>
        <v>0</v>
      </c>
      <c r="S72" s="505">
        <f>VLOOKUP('BANCO DADOS-CUSTO TOTAL'!$K72,PARAMETROS!$E:AZ,5,0)</f>
        <v>480.85799999999995</v>
      </c>
      <c r="T72" s="505">
        <f>VLOOKUP('BANCO DADOS-CUSTO TOTAL'!$K72,PARAMETROS!$E:BA,6,0)</f>
        <v>0</v>
      </c>
      <c r="U72" s="505">
        <f>VLOOKUP('BANCO DADOS-CUSTO TOTAL'!$K72,PARAMETROS!$E:BB,7,0)</f>
        <v>0</v>
      </c>
      <c r="V72" s="505">
        <f>VLOOKUP('BANCO DADOS-CUSTO TOTAL'!$K72,PARAMETROS!$E:BC,8,0)</f>
        <v>0</v>
      </c>
      <c r="W72" s="505">
        <f>VLOOKUP('BANCO DADOS-CUSTO TOTAL'!$K72,PARAMETROS!$E:BD,9,0)</f>
        <v>146.80740454545455</v>
      </c>
      <c r="X72" s="505">
        <f>VLOOKUP('BANCO DADOS-CUSTO TOTAL'!$K72,PARAMETROS!$E:BE,10,0)</f>
        <v>47.357227272727279</v>
      </c>
      <c r="Y72" s="506">
        <f t="shared" si="65"/>
        <v>2277.88</v>
      </c>
      <c r="Z72" s="507"/>
      <c r="AA72" s="508">
        <v>30</v>
      </c>
      <c r="AB72" s="509">
        <f>IF(J72="EFETIVO",IF(AND(L72="",M72=""),$M$5,IF(AND(L72&lt;&gt;"",M72&lt;&gt;"",MONTH(L72)=MONTH(M72),YEAR(L72)=YEAR(M72)),M72-L72+1,IF(AND(L72&lt;&gt;"",M72&lt;&gt;"",MONTH(L72)&lt;&gt;MONTH(M72)),DAY(M72),IF(AND(L72="",M72&lt;&gt;"",MONTH($H$5)=MONTH(M72),YEAR(M72)=YEAR($H$5)),M72-$K$5+1,IF(AND(L72&lt;&gt;"",M72="",MONTH($K$5)=MONTH(L72),YEAR($K$5)=YEAR(L72)),30-DAY(L72)+1,$M$5))))),0)</f>
        <v>30</v>
      </c>
      <c r="AC72" s="510">
        <f>(Y72/30)*(AA72-Z72)</f>
        <v>2277.88</v>
      </c>
      <c r="AD72" s="511">
        <f>Y72</f>
        <v>2277.88</v>
      </c>
      <c r="AE72" s="511">
        <f>IF(AND(J72="EFETIVO",N72="FÉRIAS"),AD72,IF(J72="EFETIVO",AC72,0))</f>
        <v>2277.88</v>
      </c>
      <c r="AF72" s="506">
        <f>IF(J72="EFETIVO",VLOOKUP(K72,PARAMETROS!$E:AX,11,0),0)</f>
        <v>112.9</v>
      </c>
      <c r="AG72" s="506">
        <f>VLOOKUP(H72,'VA E VT - APOIO.LIMPEZA'!F:AX,14,0)</f>
        <v>223.06049999999999</v>
      </c>
      <c r="AH72" s="506">
        <f>VLOOKUP($H72,'VA E VT - APOIO.LIMPEZA'!$F:AY,20,0)</f>
        <v>18.528400000000005</v>
      </c>
      <c r="AI72" s="506">
        <f>IF($J72="EFETIVO",VLOOKUP($K72,PARAMETROS!$E:BA,14,0),0)</f>
        <v>91.08</v>
      </c>
      <c r="AJ72" s="506">
        <f>IF($J72="EFETIVO",VLOOKUP($K72,PARAMETROS!$E:BB,15,0),0)</f>
        <v>17.03</v>
      </c>
      <c r="AK72" s="506"/>
      <c r="AL72" s="506"/>
      <c r="AM72" s="506"/>
      <c r="AN72" s="506"/>
      <c r="AO72" s="512">
        <f t="shared" si="66"/>
        <v>462.59890000000007</v>
      </c>
      <c r="AP72" s="506">
        <f>IF($J72="EFETIVO",VLOOKUP($K72,PARAMETROS!$E:BH,20,0),0)</f>
        <v>62.37</v>
      </c>
      <c r="AQ72" s="510"/>
      <c r="AR72" s="506">
        <f>IF($J72="EFETIVO",VLOOKUP($K72,PARAMETROS!$E:BJ,22,0),0)</f>
        <v>58.53</v>
      </c>
      <c r="AS72" s="510"/>
      <c r="AT72" s="512">
        <f t="shared" si="67"/>
        <v>120.9</v>
      </c>
      <c r="AU72" s="512">
        <f>$AU$10*AC72</f>
        <v>838.25984000000005</v>
      </c>
      <c r="AV72" s="512">
        <f t="shared" ref="AV72:BB75" si="76">IF($J72="EFETIVO",$Y72*AV$10,0)</f>
        <v>4.1001840000000005</v>
      </c>
      <c r="AW72" s="512">
        <f t="shared" si="76"/>
        <v>11.3894</v>
      </c>
      <c r="AX72" s="512">
        <f t="shared" si="76"/>
        <v>0.91115200000000007</v>
      </c>
      <c r="AY72" s="512">
        <f t="shared" si="76"/>
        <v>0.45557600000000004</v>
      </c>
      <c r="AZ72" s="512">
        <f t="shared" si="76"/>
        <v>7.9725800000000007</v>
      </c>
      <c r="BA72" s="512">
        <f t="shared" si="76"/>
        <v>2.9339094400000003</v>
      </c>
      <c r="BB72" s="512">
        <f t="shared" si="76"/>
        <v>3.8723960000000002</v>
      </c>
      <c r="BC72" s="512">
        <f t="shared" si="68"/>
        <v>27.53</v>
      </c>
      <c r="BD72" s="512">
        <f t="shared" si="69"/>
        <v>31.662531999999999</v>
      </c>
      <c r="BE72" s="512">
        <f t="shared" si="69"/>
        <v>19.134191999999999</v>
      </c>
      <c r="BF72" s="512">
        <f t="shared" si="69"/>
        <v>7.517004</v>
      </c>
      <c r="BG72" s="512">
        <f t="shared" si="69"/>
        <v>0</v>
      </c>
      <c r="BH72" s="512">
        <f t="shared" si="69"/>
        <v>21.459451904000002</v>
      </c>
      <c r="BI72" s="512">
        <f t="shared" si="70"/>
        <v>79.77</v>
      </c>
      <c r="BJ72" s="512">
        <f t="shared" si="71"/>
        <v>949.66</v>
      </c>
      <c r="BK72" s="512">
        <f t="shared" si="18"/>
        <v>189.74740400000002</v>
      </c>
      <c r="BL72" s="512">
        <f t="shared" si="19"/>
        <v>253.07246800000001</v>
      </c>
      <c r="BM72" s="512">
        <f>$BM$10*BK72</f>
        <v>69.827044672</v>
      </c>
      <c r="BN72" s="512">
        <f>$BN$10*BL72</f>
        <v>93.130668224000004</v>
      </c>
      <c r="BO72" s="512">
        <f>$BO$10*AE72</f>
        <v>97.94883999999999</v>
      </c>
      <c r="BP72" s="512"/>
      <c r="BQ72" s="512">
        <f t="shared" si="72"/>
        <v>703.72</v>
      </c>
      <c r="BR72" s="512">
        <f t="shared" si="73"/>
        <v>1653.38</v>
      </c>
      <c r="BS72" s="512">
        <f t="shared" si="74"/>
        <v>288.66000000000003</v>
      </c>
      <c r="BT72" s="512">
        <f t="shared" si="74"/>
        <v>346.26</v>
      </c>
      <c r="BU72" s="512">
        <f>((AC72+AO72+AT72+BJ72+BS72+BT72)*E72)</f>
        <v>342.33883530000003</v>
      </c>
      <c r="BV72" s="512">
        <f>BQ72*E72</f>
        <v>54.186440000000005</v>
      </c>
      <c r="BW72" s="512">
        <f>SUM(BU72:BV72)</f>
        <v>396.52527530000003</v>
      </c>
      <c r="BX72" s="512">
        <f>BS72+BT72+BW72</f>
        <v>1031.4452753</v>
      </c>
      <c r="BY72" s="512">
        <f t="shared" si="75"/>
        <v>4842.4841753000001</v>
      </c>
      <c r="BZ72" s="512">
        <f>BQ72</f>
        <v>703.72</v>
      </c>
      <c r="CA72" s="512">
        <f>BY72+BZ72</f>
        <v>5546.2041753000003</v>
      </c>
      <c r="CB72" s="513" t="s">
        <v>3919</v>
      </c>
    </row>
    <row r="73" spans="1:80" s="450" customFormat="1" ht="15.75" customHeight="1">
      <c r="A73" s="435">
        <v>1</v>
      </c>
      <c r="B73" s="435">
        <v>1</v>
      </c>
      <c r="C73" s="435" t="s">
        <v>3252</v>
      </c>
      <c r="D73" s="436">
        <f>VLOOKUP(C73,ISS!A:B,2,0)</f>
        <v>3.5000000000000003E-2</v>
      </c>
      <c r="E73" s="437">
        <f>IF(D73=2%,5.99%,IF(D73=2.5%,6.55%,IF(D73=3%,7.12%,IF(D73=3.5%,7.7%,IF(D73=4%,8.28%,IF(D73=5%,9.46%))))))</f>
        <v>7.6999999999999999E-2</v>
      </c>
      <c r="F73" s="438">
        <v>50</v>
      </c>
      <c r="G73" s="439">
        <v>12390</v>
      </c>
      <c r="H73" s="440" t="s">
        <v>3984</v>
      </c>
      <c r="I73" s="435" t="s">
        <v>3848</v>
      </c>
      <c r="J73" s="102" t="s">
        <v>3521</v>
      </c>
      <c r="K73" s="435" t="str">
        <f>CONCATENATE(C73,I73)</f>
        <v>ContagemVIGILANTE ARMADO - 12X36 DIURNO</v>
      </c>
      <c r="L73" s="441" t="s">
        <v>3875</v>
      </c>
      <c r="M73" s="441"/>
      <c r="N73" s="102"/>
      <c r="O73" s="102"/>
      <c r="P73" s="102"/>
      <c r="Q73" s="442">
        <f>VLOOKUP('BANCO DADOS-CUSTO TOTAL'!$K73,PARAMETROS!$E:AX,3,0)</f>
        <v>1602.86</v>
      </c>
      <c r="R73" s="442">
        <f>VLOOKUP('BANCO DADOS-CUSTO TOTAL'!$K73,PARAMETROS!$E:AY,4,0)</f>
        <v>0</v>
      </c>
      <c r="S73" s="442">
        <f>VLOOKUP('BANCO DADOS-CUSTO TOTAL'!$K73,PARAMETROS!$E:AZ,5,0)</f>
        <v>480.85799999999995</v>
      </c>
      <c r="T73" s="442">
        <f>VLOOKUP('BANCO DADOS-CUSTO TOTAL'!$K73,PARAMETROS!$E:BA,6,0)</f>
        <v>0</v>
      </c>
      <c r="U73" s="442">
        <f>VLOOKUP('BANCO DADOS-CUSTO TOTAL'!$K73,PARAMETROS!$E:BB,7,0)</f>
        <v>0</v>
      </c>
      <c r="V73" s="442">
        <f>VLOOKUP('BANCO DADOS-CUSTO TOTAL'!$K73,PARAMETROS!$E:BC,8,0)</f>
        <v>0</v>
      </c>
      <c r="W73" s="442">
        <f>VLOOKUP('BANCO DADOS-CUSTO TOTAL'!$K73,PARAMETROS!$E:BD,9,0)</f>
        <v>146.80740454545455</v>
      </c>
      <c r="X73" s="442">
        <f>VLOOKUP('BANCO DADOS-CUSTO TOTAL'!$K73,PARAMETROS!$E:BE,10,0)</f>
        <v>47.357227272727279</v>
      </c>
      <c r="Y73" s="443">
        <f t="shared" si="65"/>
        <v>2277.88</v>
      </c>
      <c r="Z73" s="456"/>
      <c r="AA73" s="444">
        <v>30</v>
      </c>
      <c r="AB73" s="445">
        <f>IF(J73="EFETIVO",IF(AND(L73="",M73=""),$M$5,IF(AND(L73&lt;&gt;"",M73&lt;&gt;"",MONTH(L73)=MONTH(M73),YEAR(L73)=YEAR(M73)),M73-L73+1,IF(AND(L73&lt;&gt;"",M73&lt;&gt;"",MONTH(L73)&lt;&gt;MONTH(M73)),DAY(M73),IF(AND(L73="",M73&lt;&gt;"",MONTH($H$5)=MONTH(M73),YEAR(M73)=YEAR($H$5)),M73-$K$5+1,IF(AND(L73&lt;&gt;"",M73="",MONTH($K$5)=MONTH(L73),YEAR($K$5)=YEAR(L73)),30-DAY(L73)+1,$M$5))))),0)</f>
        <v>30</v>
      </c>
      <c r="AC73" s="446">
        <f>(Y73/30)*(AA73-Z73)</f>
        <v>2277.88</v>
      </c>
      <c r="AD73" s="447">
        <f>Y73</f>
        <v>2277.88</v>
      </c>
      <c r="AE73" s="447">
        <f>IF(AND(J73="EFETIVO",N73="FÉRIAS"),AD73,IF(J73="EFETIVO",AC73,0))</f>
        <v>2277.88</v>
      </c>
      <c r="AF73" s="443">
        <f>IF(J73="EFETIVO",VLOOKUP(K73,PARAMETROS!$E:AX,11,0),0)</f>
        <v>112.9</v>
      </c>
      <c r="AG73" s="443">
        <f>VLOOKUP(H73,'VA E VT - APOIO.LIMPEZA'!F:AX,14,0)</f>
        <v>223.06049999999999</v>
      </c>
      <c r="AH73" s="443">
        <f>VLOOKUP($H73,'VA E VT - APOIO.LIMPEZA'!$F:AY,20,0)</f>
        <v>18.528400000000005</v>
      </c>
      <c r="AI73" s="443">
        <f>IF($J73="EFETIVO",VLOOKUP($K73,PARAMETROS!$E:BA,14,0),0)</f>
        <v>91.08</v>
      </c>
      <c r="AJ73" s="443">
        <f>IF($J73="EFETIVO",VLOOKUP($K73,PARAMETROS!$E:BB,15,0),0)</f>
        <v>17.03</v>
      </c>
      <c r="AK73" s="443"/>
      <c r="AL73" s="443"/>
      <c r="AM73" s="443"/>
      <c r="AN73" s="443"/>
      <c r="AO73" s="448">
        <f t="shared" si="66"/>
        <v>462.59890000000007</v>
      </c>
      <c r="AP73" s="443">
        <f>IF($J73="EFETIVO",VLOOKUP($K73,PARAMETROS!$E:BH,20,0),0)</f>
        <v>62.37</v>
      </c>
      <c r="AQ73" s="446"/>
      <c r="AR73" s="443">
        <f>IF($J73="EFETIVO",VLOOKUP($K73,PARAMETROS!$E:BJ,22,0),0)</f>
        <v>58.53</v>
      </c>
      <c r="AS73" s="446"/>
      <c r="AT73" s="448">
        <f t="shared" si="67"/>
        <v>120.9</v>
      </c>
      <c r="AU73" s="448">
        <f>$AU$10*AC73</f>
        <v>838.25984000000005</v>
      </c>
      <c r="AV73" s="448">
        <f t="shared" si="76"/>
        <v>4.1001840000000005</v>
      </c>
      <c r="AW73" s="448">
        <f t="shared" si="76"/>
        <v>11.3894</v>
      </c>
      <c r="AX73" s="448">
        <f t="shared" si="76"/>
        <v>0.91115200000000007</v>
      </c>
      <c r="AY73" s="448">
        <f t="shared" si="76"/>
        <v>0.45557600000000004</v>
      </c>
      <c r="AZ73" s="448">
        <f t="shared" si="76"/>
        <v>7.9725800000000007</v>
      </c>
      <c r="BA73" s="448">
        <f t="shared" si="76"/>
        <v>2.9339094400000003</v>
      </c>
      <c r="BB73" s="448">
        <f t="shared" si="76"/>
        <v>3.8723960000000002</v>
      </c>
      <c r="BC73" s="448">
        <f t="shared" si="68"/>
        <v>27.53</v>
      </c>
      <c r="BD73" s="448">
        <f t="shared" si="69"/>
        <v>31.662531999999999</v>
      </c>
      <c r="BE73" s="448">
        <f t="shared" si="69"/>
        <v>19.134191999999999</v>
      </c>
      <c r="BF73" s="448">
        <f t="shared" si="69"/>
        <v>7.517004</v>
      </c>
      <c r="BG73" s="448">
        <f t="shared" si="69"/>
        <v>0</v>
      </c>
      <c r="BH73" s="448">
        <f t="shared" si="69"/>
        <v>21.459451904000002</v>
      </c>
      <c r="BI73" s="448">
        <f t="shared" si="70"/>
        <v>79.77</v>
      </c>
      <c r="BJ73" s="448">
        <f t="shared" si="71"/>
        <v>949.66</v>
      </c>
      <c r="BK73" s="448">
        <f t="shared" si="18"/>
        <v>189.74740400000002</v>
      </c>
      <c r="BL73" s="448">
        <f t="shared" si="19"/>
        <v>253.07246800000001</v>
      </c>
      <c r="BM73" s="448">
        <f>$BM$10*BK73</f>
        <v>69.827044672</v>
      </c>
      <c r="BN73" s="448">
        <f>$BN$10*BL73</f>
        <v>93.130668224000004</v>
      </c>
      <c r="BO73" s="448">
        <f>$BO$10*AE73</f>
        <v>97.94883999999999</v>
      </c>
      <c r="BP73" s="448"/>
      <c r="BQ73" s="448">
        <f t="shared" si="72"/>
        <v>703.72</v>
      </c>
      <c r="BR73" s="448">
        <f t="shared" si="73"/>
        <v>1653.38</v>
      </c>
      <c r="BS73" s="448">
        <f t="shared" si="74"/>
        <v>288.66000000000003</v>
      </c>
      <c r="BT73" s="448">
        <f t="shared" si="74"/>
        <v>346.26</v>
      </c>
      <c r="BU73" s="448">
        <f>((AC73+AO73+AT73+BJ73+BS73+BT73)*E73)</f>
        <v>342.33883530000003</v>
      </c>
      <c r="BV73" s="448">
        <f>BQ73*E73</f>
        <v>54.186440000000005</v>
      </c>
      <c r="BW73" s="448">
        <f>SUM(BU73:BV73)</f>
        <v>396.52527530000003</v>
      </c>
      <c r="BX73" s="448">
        <f>BS73+BT73+BW73</f>
        <v>1031.4452753</v>
      </c>
      <c r="BY73" s="448">
        <f t="shared" si="75"/>
        <v>4842.4841753000001</v>
      </c>
      <c r="BZ73" s="448">
        <f>BQ73</f>
        <v>703.72</v>
      </c>
      <c r="CA73" s="448">
        <f>BY73+BZ73</f>
        <v>5546.2041753000003</v>
      </c>
      <c r="CB73" s="449"/>
    </row>
    <row r="74" spans="1:80" s="450" customFormat="1" ht="15.75" customHeight="1">
      <c r="A74" s="435">
        <v>1</v>
      </c>
      <c r="B74" s="435">
        <v>1</v>
      </c>
      <c r="C74" s="435" t="s">
        <v>3252</v>
      </c>
      <c r="D74" s="436">
        <f>VLOOKUP(C74,ISS!A:B,2,0)</f>
        <v>3.5000000000000003E-2</v>
      </c>
      <c r="E74" s="437">
        <f>IF(D74=2%,5.99%,IF(D74=2.5%,6.55%,IF(D74=3%,7.12%,IF(D74=3.5%,7.7%,IF(D74=4%,8.28%,IF(D74=5%,9.46%))))))</f>
        <v>7.6999999999999999E-2</v>
      </c>
      <c r="F74" s="438">
        <v>51</v>
      </c>
      <c r="G74" s="439">
        <v>12391</v>
      </c>
      <c r="H74" s="440" t="s">
        <v>3985</v>
      </c>
      <c r="I74" s="435" t="s">
        <v>3850</v>
      </c>
      <c r="J74" s="102" t="s">
        <v>3521</v>
      </c>
      <c r="K74" s="435" t="str">
        <f>CONCATENATE(C74,I74)</f>
        <v>ContagemVIGILANTE ARMADO - 12X36 NOTURNO</v>
      </c>
      <c r="L74" s="441" t="s">
        <v>3875</v>
      </c>
      <c r="M74" s="441"/>
      <c r="N74" s="102"/>
      <c r="O74" s="102"/>
      <c r="P74" s="102"/>
      <c r="Q74" s="442">
        <f>VLOOKUP('BANCO DADOS-CUSTO TOTAL'!$K74,PARAMETROS!$E:AX,3,0)</f>
        <v>1602.86</v>
      </c>
      <c r="R74" s="442">
        <f>VLOOKUP('BANCO DADOS-CUSTO TOTAL'!$K74,PARAMETROS!$E:AY,4,0)</f>
        <v>0</v>
      </c>
      <c r="S74" s="442">
        <f>VLOOKUP('BANCO DADOS-CUSTO TOTAL'!$K74,PARAMETROS!$E:AZ,5,0)</f>
        <v>480.85799999999995</v>
      </c>
      <c r="T74" s="442">
        <f>VLOOKUP('BANCO DADOS-CUSTO TOTAL'!$K74,PARAMETROS!$E:BA,6,0)</f>
        <v>411.06073272727275</v>
      </c>
      <c r="U74" s="442">
        <f>VLOOKUP('BANCO DADOS-CUSTO TOTAL'!$K74,PARAMETROS!$E:BB,7,0)</f>
        <v>0</v>
      </c>
      <c r="V74" s="442">
        <f>VLOOKUP('BANCO DADOS-CUSTO TOTAL'!$K74,PARAMETROS!$E:BC,8,0)</f>
        <v>0</v>
      </c>
      <c r="W74" s="442">
        <f>VLOOKUP('BANCO DADOS-CUSTO TOTAL'!$K74,PARAMETROS!$E:BD,9,0)</f>
        <v>175.76850162396693</v>
      </c>
      <c r="X74" s="442">
        <f>VLOOKUP('BANCO DADOS-CUSTO TOTAL'!$K74,PARAMETROS!$E:BE,10,0)</f>
        <v>47.357227272727279</v>
      </c>
      <c r="Y74" s="443">
        <f t="shared" si="65"/>
        <v>2717.9</v>
      </c>
      <c r="Z74" s="456"/>
      <c r="AA74" s="444">
        <v>30</v>
      </c>
      <c r="AB74" s="445">
        <f>IF(J74="EFETIVO",IF(AND(L74="",M74=""),$M$5,IF(AND(L74&lt;&gt;"",M74&lt;&gt;"",MONTH(L74)=MONTH(M74),YEAR(L74)=YEAR(M74)),M74-L74+1,IF(AND(L74&lt;&gt;"",M74&lt;&gt;"",MONTH(L74)&lt;&gt;MONTH(M74)),DAY(M74),IF(AND(L74="",M74&lt;&gt;"",MONTH($H$5)=MONTH(M74),YEAR(M74)=YEAR($H$5)),M74-$K$5+1,IF(AND(L74&lt;&gt;"",M74="",MONTH($K$5)=MONTH(L74),YEAR($K$5)=YEAR(L74)),30-DAY(L74)+1,$M$5))))),0)</f>
        <v>30</v>
      </c>
      <c r="AC74" s="446">
        <f>(Y74/30)*(AA74-Z74)</f>
        <v>2717.9</v>
      </c>
      <c r="AD74" s="447">
        <f>Y74</f>
        <v>2717.9</v>
      </c>
      <c r="AE74" s="447">
        <f>IF(AND(J74="EFETIVO",N74="FÉRIAS"),AD74,IF(J74="EFETIVO",AC74,0))</f>
        <v>2717.9</v>
      </c>
      <c r="AF74" s="443">
        <f>IF(J74="EFETIVO",VLOOKUP(K74,PARAMETROS!$E:AX,11,0),0)</f>
        <v>112.9</v>
      </c>
      <c r="AG74" s="443">
        <f>VLOOKUP(H74,'VA E VT - APOIO.LIMPEZA'!F:AX,14,0)</f>
        <v>223.06049999999999</v>
      </c>
      <c r="AH74" s="443">
        <f>VLOOKUP($H74,'VA E VT - APOIO.LIMPEZA'!$F:AY,20,0)</f>
        <v>18.528400000000005</v>
      </c>
      <c r="AI74" s="443">
        <f>IF($J74="EFETIVO",VLOOKUP($K74,PARAMETROS!$E:BA,14,0),0)</f>
        <v>91.08</v>
      </c>
      <c r="AJ74" s="443">
        <f>IF($J74="EFETIVO",VLOOKUP($K74,PARAMETROS!$E:BB,15,0),0)</f>
        <v>17.03</v>
      </c>
      <c r="AK74" s="443"/>
      <c r="AL74" s="443"/>
      <c r="AM74" s="443"/>
      <c r="AN74" s="443"/>
      <c r="AO74" s="448">
        <f t="shared" si="66"/>
        <v>462.59890000000007</v>
      </c>
      <c r="AP74" s="443">
        <f>IF($J74="EFETIVO",VLOOKUP($K74,PARAMETROS!$E:BH,20,0),0)</f>
        <v>62.37</v>
      </c>
      <c r="AQ74" s="446"/>
      <c r="AR74" s="443">
        <f>IF($J74="EFETIVO",VLOOKUP($K74,PARAMETROS!$E:BJ,22,0),0)</f>
        <v>58.53</v>
      </c>
      <c r="AS74" s="446"/>
      <c r="AT74" s="448">
        <f t="shared" si="67"/>
        <v>120.9</v>
      </c>
      <c r="AU74" s="448">
        <f>$AU$10*AC74</f>
        <v>1000.1872</v>
      </c>
      <c r="AV74" s="448">
        <f t="shared" si="76"/>
        <v>4.89222</v>
      </c>
      <c r="AW74" s="448">
        <f t="shared" si="76"/>
        <v>13.589500000000001</v>
      </c>
      <c r="AX74" s="448">
        <f t="shared" si="76"/>
        <v>1.0871600000000001</v>
      </c>
      <c r="AY74" s="448">
        <f t="shared" si="76"/>
        <v>0.54358000000000006</v>
      </c>
      <c r="AZ74" s="448">
        <f t="shared" si="76"/>
        <v>9.5126500000000007</v>
      </c>
      <c r="BA74" s="448">
        <f t="shared" si="76"/>
        <v>3.5006552000000002</v>
      </c>
      <c r="BB74" s="448">
        <f t="shared" si="76"/>
        <v>4.6204299999999998</v>
      </c>
      <c r="BC74" s="448">
        <f t="shared" si="68"/>
        <v>32.85</v>
      </c>
      <c r="BD74" s="448">
        <f t="shared" si="69"/>
        <v>37.77881</v>
      </c>
      <c r="BE74" s="448">
        <f t="shared" si="69"/>
        <v>22.830359999999999</v>
      </c>
      <c r="BF74" s="448">
        <f t="shared" si="69"/>
        <v>8.9690700000000003</v>
      </c>
      <c r="BG74" s="448">
        <f t="shared" si="69"/>
        <v>0</v>
      </c>
      <c r="BH74" s="448">
        <f t="shared" si="69"/>
        <v>25.604792320000001</v>
      </c>
      <c r="BI74" s="448">
        <f t="shared" si="70"/>
        <v>95.18</v>
      </c>
      <c r="BJ74" s="448">
        <f t="shared" si="71"/>
        <v>1133.0999999999999</v>
      </c>
      <c r="BK74" s="448">
        <f t="shared" si="18"/>
        <v>226.40107</v>
      </c>
      <c r="BL74" s="448">
        <f t="shared" si="19"/>
        <v>301.95869000000005</v>
      </c>
      <c r="BM74" s="448">
        <f>$BM$10*BK74</f>
        <v>83.315593759999999</v>
      </c>
      <c r="BN74" s="448">
        <f>$BN$10*BL74</f>
        <v>111.12079792000002</v>
      </c>
      <c r="BO74" s="448">
        <f>$BO$10*AE74</f>
        <v>116.86969999999999</v>
      </c>
      <c r="BP74" s="448"/>
      <c r="BQ74" s="448">
        <f t="shared" si="72"/>
        <v>839.66</v>
      </c>
      <c r="BR74" s="448">
        <f t="shared" si="73"/>
        <v>1972.76</v>
      </c>
      <c r="BS74" s="448">
        <f t="shared" si="74"/>
        <v>288.66000000000003</v>
      </c>
      <c r="BT74" s="448">
        <f t="shared" si="74"/>
        <v>346.26</v>
      </c>
      <c r="BU74" s="448">
        <f>((AC74+AO74+AT74+BJ74+BS74+BT74)*E74)</f>
        <v>390.34525530000002</v>
      </c>
      <c r="BV74" s="448">
        <f>BQ74*E74</f>
        <v>64.653819999999996</v>
      </c>
      <c r="BW74" s="448">
        <f>SUM(BU74:BV74)</f>
        <v>454.99907530000002</v>
      </c>
      <c r="BX74" s="448">
        <f>BS74+BT74+BW74</f>
        <v>1089.9190753</v>
      </c>
      <c r="BY74" s="448">
        <f t="shared" si="75"/>
        <v>5524.4179753000008</v>
      </c>
      <c r="BZ74" s="448">
        <f>BQ74</f>
        <v>839.66</v>
      </c>
      <c r="CA74" s="448">
        <f>BY74+BZ74</f>
        <v>6364.0779753000006</v>
      </c>
      <c r="CB74" s="449"/>
    </row>
    <row r="75" spans="1:80" s="450" customFormat="1" ht="15.75" customHeight="1">
      <c r="A75" s="435">
        <v>1</v>
      </c>
      <c r="B75" s="435">
        <v>1</v>
      </c>
      <c r="C75" s="435" t="s">
        <v>3252</v>
      </c>
      <c r="D75" s="436">
        <f>VLOOKUP(C75,ISS!A:B,2,0)</f>
        <v>3.5000000000000003E-2</v>
      </c>
      <c r="E75" s="437">
        <f>IF(D75=2%,5.99%,IF(D75=2.5%,6.55%,IF(D75=3%,7.12%,IF(D75=3.5%,7.7%,IF(D75=4%,8.28%,IF(D75=5%,9.46%))))))</f>
        <v>7.6999999999999999E-2</v>
      </c>
      <c r="F75" s="438">
        <v>52</v>
      </c>
      <c r="G75" s="439">
        <v>12392</v>
      </c>
      <c r="H75" s="440" t="s">
        <v>3986</v>
      </c>
      <c r="I75" s="435" t="s">
        <v>3850</v>
      </c>
      <c r="J75" s="102" t="s">
        <v>3521</v>
      </c>
      <c r="K75" s="435" t="str">
        <f>CONCATENATE(C75,I75)</f>
        <v>ContagemVIGILANTE ARMADO - 12X36 NOTURNO</v>
      </c>
      <c r="L75" s="441" t="s">
        <v>3875</v>
      </c>
      <c r="M75" s="441"/>
      <c r="N75" s="102"/>
      <c r="O75" s="102"/>
      <c r="P75" s="102"/>
      <c r="Q75" s="442">
        <f>VLOOKUP('BANCO DADOS-CUSTO TOTAL'!$K75,PARAMETROS!$E:AX,3,0)</f>
        <v>1602.86</v>
      </c>
      <c r="R75" s="442">
        <f>VLOOKUP('BANCO DADOS-CUSTO TOTAL'!$K75,PARAMETROS!$E:AY,4,0)</f>
        <v>0</v>
      </c>
      <c r="S75" s="442">
        <f>VLOOKUP('BANCO DADOS-CUSTO TOTAL'!$K75,PARAMETROS!$E:AZ,5,0)</f>
        <v>480.85799999999995</v>
      </c>
      <c r="T75" s="442">
        <f>VLOOKUP('BANCO DADOS-CUSTO TOTAL'!$K75,PARAMETROS!$E:BA,6,0)</f>
        <v>411.06073272727275</v>
      </c>
      <c r="U75" s="442">
        <f>VLOOKUP('BANCO DADOS-CUSTO TOTAL'!$K75,PARAMETROS!$E:BB,7,0)</f>
        <v>0</v>
      </c>
      <c r="V75" s="442">
        <f>VLOOKUP('BANCO DADOS-CUSTO TOTAL'!$K75,PARAMETROS!$E:BC,8,0)</f>
        <v>0</v>
      </c>
      <c r="W75" s="442">
        <f>VLOOKUP('BANCO DADOS-CUSTO TOTAL'!$K75,PARAMETROS!$E:BD,9,0)</f>
        <v>175.76850162396693</v>
      </c>
      <c r="X75" s="442">
        <f>VLOOKUP('BANCO DADOS-CUSTO TOTAL'!$K75,PARAMETROS!$E:BE,10,0)</f>
        <v>47.357227272727279</v>
      </c>
      <c r="Y75" s="443">
        <f t="shared" si="65"/>
        <v>2717.9</v>
      </c>
      <c r="Z75" s="456"/>
      <c r="AA75" s="444">
        <v>30</v>
      </c>
      <c r="AB75" s="445">
        <f>IF(J75="EFETIVO",IF(AND(L75="",M75=""),$M$5,IF(AND(L75&lt;&gt;"",M75&lt;&gt;"",MONTH(L75)=MONTH(M75),YEAR(L75)=YEAR(M75)),M75-L75+1,IF(AND(L75&lt;&gt;"",M75&lt;&gt;"",MONTH(L75)&lt;&gt;MONTH(M75)),DAY(M75),IF(AND(L75="",M75&lt;&gt;"",MONTH($H$5)=MONTH(M75),YEAR(M75)=YEAR($H$5)),M75-$K$5+1,IF(AND(L75&lt;&gt;"",M75="",MONTH($K$5)=MONTH(L75),YEAR($K$5)=YEAR(L75)),30-DAY(L75)+1,$M$5))))),0)</f>
        <v>30</v>
      </c>
      <c r="AC75" s="446">
        <f>(Y75/30)*(AA75-Z75)</f>
        <v>2717.9</v>
      </c>
      <c r="AD75" s="447">
        <f>Y75</f>
        <v>2717.9</v>
      </c>
      <c r="AE75" s="447">
        <f>IF(AND(J75="EFETIVO",N75="FÉRIAS"),AD75,IF(J75="EFETIVO",AC75,0))</f>
        <v>2717.9</v>
      </c>
      <c r="AF75" s="443">
        <f>IF(J75="EFETIVO",VLOOKUP(K75,PARAMETROS!$E:AX,11,0),0)</f>
        <v>112.9</v>
      </c>
      <c r="AG75" s="443">
        <f>VLOOKUP(H75,'VA E VT - APOIO.LIMPEZA'!F:AX,14,0)</f>
        <v>223.06049999999999</v>
      </c>
      <c r="AH75" s="443">
        <f>VLOOKUP($H75,'VA E VT - APOIO.LIMPEZA'!$F:AY,20,0)</f>
        <v>18.528400000000005</v>
      </c>
      <c r="AI75" s="443">
        <f>IF($J75="EFETIVO",VLOOKUP($K75,PARAMETROS!$E:BA,14,0),0)</f>
        <v>91.08</v>
      </c>
      <c r="AJ75" s="443">
        <f>IF($J75="EFETIVO",VLOOKUP($K75,PARAMETROS!$E:BB,15,0),0)</f>
        <v>17.03</v>
      </c>
      <c r="AK75" s="443"/>
      <c r="AL75" s="443"/>
      <c r="AM75" s="443"/>
      <c r="AN75" s="443"/>
      <c r="AO75" s="448">
        <f t="shared" si="66"/>
        <v>462.59890000000007</v>
      </c>
      <c r="AP75" s="443">
        <f>IF($J75="EFETIVO",VLOOKUP($K75,PARAMETROS!$E:BH,20,0),0)</f>
        <v>62.37</v>
      </c>
      <c r="AQ75" s="446"/>
      <c r="AR75" s="443">
        <f>IF($J75="EFETIVO",VLOOKUP($K75,PARAMETROS!$E:BJ,22,0),0)</f>
        <v>58.53</v>
      </c>
      <c r="AS75" s="446"/>
      <c r="AT75" s="448">
        <f t="shared" si="67"/>
        <v>120.9</v>
      </c>
      <c r="AU75" s="448">
        <f>$AU$10*AC75</f>
        <v>1000.1872</v>
      </c>
      <c r="AV75" s="448">
        <f t="shared" si="76"/>
        <v>4.89222</v>
      </c>
      <c r="AW75" s="448">
        <f t="shared" si="76"/>
        <v>13.589500000000001</v>
      </c>
      <c r="AX75" s="448">
        <f t="shared" si="76"/>
        <v>1.0871600000000001</v>
      </c>
      <c r="AY75" s="448">
        <f t="shared" si="76"/>
        <v>0.54358000000000006</v>
      </c>
      <c r="AZ75" s="448">
        <f t="shared" si="76"/>
        <v>9.5126500000000007</v>
      </c>
      <c r="BA75" s="448">
        <f t="shared" si="76"/>
        <v>3.5006552000000002</v>
      </c>
      <c r="BB75" s="448">
        <f t="shared" si="76"/>
        <v>4.6204299999999998</v>
      </c>
      <c r="BC75" s="448">
        <f t="shared" si="68"/>
        <v>32.85</v>
      </c>
      <c r="BD75" s="448">
        <f t="shared" si="69"/>
        <v>37.77881</v>
      </c>
      <c r="BE75" s="448">
        <f t="shared" si="69"/>
        <v>22.830359999999999</v>
      </c>
      <c r="BF75" s="448">
        <f t="shared" si="69"/>
        <v>8.9690700000000003</v>
      </c>
      <c r="BG75" s="448">
        <f t="shared" si="69"/>
        <v>0</v>
      </c>
      <c r="BH75" s="448">
        <f t="shared" si="69"/>
        <v>25.604792320000001</v>
      </c>
      <c r="BI75" s="448">
        <f t="shared" si="70"/>
        <v>95.18</v>
      </c>
      <c r="BJ75" s="448">
        <f t="shared" si="71"/>
        <v>1133.0999999999999</v>
      </c>
      <c r="BK75" s="448">
        <f t="shared" si="18"/>
        <v>226.40107</v>
      </c>
      <c r="BL75" s="448">
        <f t="shared" si="19"/>
        <v>301.95869000000005</v>
      </c>
      <c r="BM75" s="448">
        <f>$BM$10*BK75</f>
        <v>83.315593759999999</v>
      </c>
      <c r="BN75" s="448">
        <f>$BN$10*BL75</f>
        <v>111.12079792000002</v>
      </c>
      <c r="BO75" s="448">
        <f>$BO$10*AE75</f>
        <v>116.86969999999999</v>
      </c>
      <c r="BP75" s="448"/>
      <c r="BQ75" s="448">
        <f t="shared" si="72"/>
        <v>839.66</v>
      </c>
      <c r="BR75" s="448">
        <f t="shared" si="73"/>
        <v>1972.76</v>
      </c>
      <c r="BS75" s="448">
        <f t="shared" si="74"/>
        <v>288.66000000000003</v>
      </c>
      <c r="BT75" s="448">
        <f t="shared" si="74"/>
        <v>346.26</v>
      </c>
      <c r="BU75" s="448">
        <f>((AC75+AO75+AT75+BJ75+BS75+BT75)*E75)</f>
        <v>390.34525530000002</v>
      </c>
      <c r="BV75" s="448">
        <f>BQ75*E75</f>
        <v>64.653819999999996</v>
      </c>
      <c r="BW75" s="448">
        <f>SUM(BU75:BV75)</f>
        <v>454.99907530000002</v>
      </c>
      <c r="BX75" s="448">
        <f>BS75+BT75+BW75</f>
        <v>1089.9190753</v>
      </c>
      <c r="BY75" s="448">
        <f t="shared" si="75"/>
        <v>5524.4179753000008</v>
      </c>
      <c r="BZ75" s="448">
        <f>BQ75</f>
        <v>839.66</v>
      </c>
      <c r="CA75" s="448">
        <f>BY75+BZ75</f>
        <v>6364.0779753000006</v>
      </c>
      <c r="CB75" s="449"/>
    </row>
    <row r="76" spans="1:80" s="480" customFormat="1" ht="15.75" customHeight="1">
      <c r="A76" s="462"/>
      <c r="B76" s="462"/>
      <c r="C76" s="462" t="s">
        <v>3890</v>
      </c>
      <c r="D76" s="463"/>
      <c r="E76" s="464"/>
      <c r="F76" s="465"/>
      <c r="G76" s="466"/>
      <c r="H76" s="467"/>
      <c r="I76" s="462"/>
      <c r="J76" s="468"/>
      <c r="K76" s="462"/>
      <c r="L76" s="469"/>
      <c r="M76" s="469"/>
      <c r="N76" s="468"/>
      <c r="O76" s="468"/>
      <c r="P76" s="468"/>
      <c r="Q76" s="470"/>
      <c r="R76" s="470"/>
      <c r="S76" s="470"/>
      <c r="T76" s="470"/>
      <c r="U76" s="470"/>
      <c r="V76" s="470"/>
      <c r="W76" s="470"/>
      <c r="X76" s="470"/>
      <c r="Y76" s="471"/>
      <c r="Z76" s="472"/>
      <c r="AA76" s="473"/>
      <c r="AB76" s="474"/>
      <c r="AC76" s="475"/>
      <c r="AD76" s="476"/>
      <c r="AE76" s="476"/>
      <c r="AF76" s="471">
        <f>SUBTOTAL(9,AF71:AF75)</f>
        <v>451.6</v>
      </c>
      <c r="AG76" s="471">
        <f t="shared" ref="AG76:BZ76" si="77">SUBTOTAL(9,AG71:AG75)</f>
        <v>892.24199999999996</v>
      </c>
      <c r="AH76" s="471">
        <f t="shared" si="77"/>
        <v>74.113600000000019</v>
      </c>
      <c r="AI76" s="471">
        <f t="shared" si="77"/>
        <v>364.32</v>
      </c>
      <c r="AJ76" s="471">
        <f t="shared" si="77"/>
        <v>68.12</v>
      </c>
      <c r="AK76" s="471">
        <f t="shared" si="77"/>
        <v>0</v>
      </c>
      <c r="AL76" s="471">
        <f t="shared" si="77"/>
        <v>0</v>
      </c>
      <c r="AM76" s="471">
        <f t="shared" si="77"/>
        <v>0</v>
      </c>
      <c r="AN76" s="471">
        <f t="shared" si="77"/>
        <v>0</v>
      </c>
      <c r="AO76" s="471">
        <f t="shared" si="77"/>
        <v>1850.3956000000003</v>
      </c>
      <c r="AP76" s="471">
        <f t="shared" si="77"/>
        <v>249.48</v>
      </c>
      <c r="AQ76" s="471">
        <f t="shared" si="77"/>
        <v>0</v>
      </c>
      <c r="AR76" s="471">
        <f t="shared" si="77"/>
        <v>234.12</v>
      </c>
      <c r="AS76" s="471">
        <f t="shared" si="77"/>
        <v>0</v>
      </c>
      <c r="AT76" s="471">
        <f t="shared" si="77"/>
        <v>483.6</v>
      </c>
      <c r="AU76" s="471">
        <f t="shared" si="77"/>
        <v>3676.89408</v>
      </c>
      <c r="AV76" s="471">
        <f t="shared" si="77"/>
        <v>17.984808000000001</v>
      </c>
      <c r="AW76" s="471">
        <f t="shared" si="77"/>
        <v>49.957800000000006</v>
      </c>
      <c r="AX76" s="471">
        <f t="shared" si="77"/>
        <v>3.9966240000000006</v>
      </c>
      <c r="AY76" s="471">
        <f t="shared" si="77"/>
        <v>1.9983120000000003</v>
      </c>
      <c r="AZ76" s="471">
        <f t="shared" si="77"/>
        <v>34.970460000000003</v>
      </c>
      <c r="BA76" s="471">
        <f t="shared" si="77"/>
        <v>12.869129280000001</v>
      </c>
      <c r="BB76" s="471">
        <f t="shared" si="77"/>
        <v>16.985651999999998</v>
      </c>
      <c r="BC76" s="471">
        <f t="shared" si="77"/>
        <v>120.75999999999999</v>
      </c>
      <c r="BD76" s="471">
        <f t="shared" si="77"/>
        <v>138.88268399999998</v>
      </c>
      <c r="BE76" s="471">
        <f t="shared" si="77"/>
        <v>83.929103999999995</v>
      </c>
      <c r="BF76" s="471">
        <f t="shared" si="77"/>
        <v>32.972148000000004</v>
      </c>
      <c r="BG76" s="471">
        <f t="shared" si="77"/>
        <v>0</v>
      </c>
      <c r="BH76" s="471">
        <f t="shared" si="77"/>
        <v>94.128488448000013</v>
      </c>
      <c r="BI76" s="471">
        <f t="shared" si="77"/>
        <v>349.9</v>
      </c>
      <c r="BJ76" s="471">
        <f t="shared" si="77"/>
        <v>4165.5200000000004</v>
      </c>
      <c r="BK76" s="471">
        <f t="shared" si="77"/>
        <v>832.29694800000004</v>
      </c>
      <c r="BL76" s="471">
        <f t="shared" si="77"/>
        <v>1110.062316</v>
      </c>
      <c r="BM76" s="471">
        <f t="shared" si="77"/>
        <v>306.28527686400002</v>
      </c>
      <c r="BN76" s="471">
        <f t="shared" si="77"/>
        <v>408.50293228800007</v>
      </c>
      <c r="BO76" s="471">
        <f t="shared" si="77"/>
        <v>429.63707999999997</v>
      </c>
      <c r="BP76" s="471">
        <f t="shared" si="77"/>
        <v>0</v>
      </c>
      <c r="BQ76" s="471">
        <f t="shared" si="77"/>
        <v>3086.7599999999998</v>
      </c>
      <c r="BR76" s="471">
        <f t="shared" si="77"/>
        <v>7252.2800000000007</v>
      </c>
      <c r="BS76" s="471">
        <f t="shared" si="77"/>
        <v>1154.6400000000001</v>
      </c>
      <c r="BT76" s="471">
        <f t="shared" si="77"/>
        <v>1385.04</v>
      </c>
      <c r="BU76" s="471">
        <f t="shared" si="77"/>
        <v>1465.3681812</v>
      </c>
      <c r="BV76" s="471">
        <f t="shared" si="77"/>
        <v>237.68052</v>
      </c>
      <c r="BW76" s="471">
        <f t="shared" si="77"/>
        <v>1703.0487012000001</v>
      </c>
      <c r="BX76" s="471">
        <f t="shared" si="77"/>
        <v>4242.7287012000006</v>
      </c>
      <c r="BY76" s="471">
        <f t="shared" si="77"/>
        <v>20733.804301200002</v>
      </c>
      <c r="BZ76" s="471">
        <f t="shared" si="77"/>
        <v>3086.7599999999998</v>
      </c>
      <c r="CA76" s="471">
        <f>SUBTOTAL(9,CA71:CA75)</f>
        <v>23820.5643012</v>
      </c>
      <c r="CB76" s="479"/>
    </row>
    <row r="77" spans="1:80" s="450" customFormat="1" ht="15.75" customHeight="1">
      <c r="A77" s="435">
        <v>1</v>
      </c>
      <c r="B77" s="435">
        <v>1</v>
      </c>
      <c r="C77" s="435" t="s">
        <v>3835</v>
      </c>
      <c r="D77" s="436">
        <f>VLOOKUP(C77,ISS!A:B,2,0)</f>
        <v>0.02</v>
      </c>
      <c r="E77" s="437">
        <f>IF(D77=2%,5.99%,IF(D77=2.5%,6.55%,IF(D77=3%,7.12%,IF(D77=3.5%,7.7%,IF(D77=4%,8.28%,IF(D77=5%,9.46%))))))</f>
        <v>5.9900000000000002E-2</v>
      </c>
      <c r="F77" s="438">
        <v>53</v>
      </c>
      <c r="G77" s="439">
        <v>12393</v>
      </c>
      <c r="H77" s="440" t="s">
        <v>3987</v>
      </c>
      <c r="I77" s="435" t="s">
        <v>3849</v>
      </c>
      <c r="J77" s="102" t="s">
        <v>3521</v>
      </c>
      <c r="K77" s="435" t="str">
        <f t="shared" si="38"/>
        <v>FormigaVIGILANTE ARMADO - 220 H</v>
      </c>
      <c r="L77" s="441" t="s">
        <v>3875</v>
      </c>
      <c r="M77" s="441"/>
      <c r="N77" s="102"/>
      <c r="O77" s="102"/>
      <c r="P77" s="102"/>
      <c r="Q77" s="442">
        <f>VLOOKUP('BANCO DADOS-CUSTO TOTAL'!$K77,PARAMETROS!$E:AX,3,0)</f>
        <v>1602.86</v>
      </c>
      <c r="R77" s="442">
        <f>VLOOKUP('BANCO DADOS-CUSTO TOTAL'!$K77,PARAMETROS!$E:AY,4,0)</f>
        <v>0</v>
      </c>
      <c r="S77" s="442">
        <f>VLOOKUP('BANCO DADOS-CUSTO TOTAL'!$K77,PARAMETROS!$E:AZ,5,0)</f>
        <v>480.85799999999995</v>
      </c>
      <c r="T77" s="442">
        <f>VLOOKUP('BANCO DADOS-CUSTO TOTAL'!$K77,PARAMETROS!$E:BA,6,0)</f>
        <v>0</v>
      </c>
      <c r="U77" s="442">
        <f>VLOOKUP('BANCO DADOS-CUSTO TOTAL'!$K77,PARAMETROS!$E:BB,7,0)</f>
        <v>0</v>
      </c>
      <c r="V77" s="442">
        <f>VLOOKUP('BANCO DADOS-CUSTO TOTAL'!$K77,PARAMETROS!$E:BC,8,0)</f>
        <v>0</v>
      </c>
      <c r="W77" s="442">
        <f>VLOOKUP('BANCO DADOS-CUSTO TOTAL'!$K77,PARAMETROS!$E:BD,9,0)</f>
        <v>189.42890909090909</v>
      </c>
      <c r="X77" s="442">
        <f>VLOOKUP('BANCO DADOS-CUSTO TOTAL'!$K77,PARAMETROS!$E:BE,10,0)</f>
        <v>13.891453333333336</v>
      </c>
      <c r="Y77" s="443">
        <f>TRUNC(SUM(Q77:X77),2)</f>
        <v>2287.0300000000002</v>
      </c>
      <c r="Z77" s="456"/>
      <c r="AA77" s="444">
        <v>30</v>
      </c>
      <c r="AB77" s="445">
        <f>IF(J77="EFETIVO",IF(AND(L77="",M77=""),$M$5,IF(AND(L77&lt;&gt;"",M77&lt;&gt;"",MONTH(L77)=MONTH(M77),YEAR(L77)=YEAR(M77)),M77-L77+1,IF(AND(L77&lt;&gt;"",M77&lt;&gt;"",MONTH(L77)&lt;&gt;MONTH(M77)),DAY(M77),IF(AND(L77="",M77&lt;&gt;"",MONTH($H$5)=MONTH(M77),YEAR(M77)=YEAR($H$5)),M77-$K$5+1,IF(AND(L77&lt;&gt;"",M77="",MONTH($K$5)=MONTH(L77),YEAR($K$5)=YEAR(L77)),30-DAY(L77)+1,$M$5))))),0)</f>
        <v>30</v>
      </c>
      <c r="AC77" s="446">
        <f>(Y77/30)*(AA77-Z77)</f>
        <v>2287.0300000000002</v>
      </c>
      <c r="AD77" s="447">
        <f>Y77</f>
        <v>2287.0300000000002</v>
      </c>
      <c r="AE77" s="447">
        <f>IF(AND(J77="EFETIVO",N77="FÉRIAS"),AD77,IF(J77="EFETIVO",AC77,0))</f>
        <v>2287.0300000000002</v>
      </c>
      <c r="AF77" s="443">
        <f>IF(J77="EFETIVO",VLOOKUP(K77,PARAMETROS!$E:AX,11,0),0)</f>
        <v>112.9</v>
      </c>
      <c r="AG77" s="443">
        <f>VLOOKUP(H77,'VA E VT - APOIO.LIMPEZA'!F:AX,14,0)</f>
        <v>287.82</v>
      </c>
      <c r="AH77" s="443">
        <f>VLOOKUP($H77,'VA E VT - APOIO.LIMPEZA'!$F:AY,20,0)</f>
        <v>51.828400000000002</v>
      </c>
      <c r="AI77" s="443">
        <f>IF($J77="EFETIVO",VLOOKUP($K77,PARAMETROS!$E:BA,14,0),0)</f>
        <v>91.08</v>
      </c>
      <c r="AJ77" s="443">
        <f>IF($J77="EFETIVO",VLOOKUP($K77,PARAMETROS!$E:BB,15,0),0)</f>
        <v>17.03</v>
      </c>
      <c r="AK77" s="443"/>
      <c r="AL77" s="443"/>
      <c r="AM77" s="443"/>
      <c r="AN77" s="443"/>
      <c r="AO77" s="448">
        <f>SUM(AF77:AN77)</f>
        <v>560.65840000000003</v>
      </c>
      <c r="AP77" s="443">
        <f>IF($J77="EFETIVO",VLOOKUP($K77,PARAMETROS!$E:BH,20,0),0)</f>
        <v>62.37</v>
      </c>
      <c r="AQ77" s="446"/>
      <c r="AR77" s="443">
        <f>IF($J77="EFETIVO",VLOOKUP($K77,PARAMETROS!$E:BJ,22,0),0)</f>
        <v>58.53</v>
      </c>
      <c r="AS77" s="446"/>
      <c r="AT77" s="448">
        <f>(AP77+AQ77+AR77+AS77)</f>
        <v>120.9</v>
      </c>
      <c r="AU77" s="448">
        <f>$AU$10*AC77</f>
        <v>841.62704000000008</v>
      </c>
      <c r="AV77" s="448">
        <f t="shared" ref="AV77:BB77" si="78">IF($J77="EFETIVO",$Y77*AV$10,0)</f>
        <v>4.1166540000000005</v>
      </c>
      <c r="AW77" s="448">
        <f t="shared" si="78"/>
        <v>11.435150000000002</v>
      </c>
      <c r="AX77" s="448">
        <f t="shared" si="78"/>
        <v>0.91481200000000007</v>
      </c>
      <c r="AY77" s="448">
        <f t="shared" si="78"/>
        <v>0.45740600000000003</v>
      </c>
      <c r="AZ77" s="448">
        <f t="shared" si="78"/>
        <v>8.0046050000000015</v>
      </c>
      <c r="BA77" s="448">
        <f t="shared" si="78"/>
        <v>2.9456946400000006</v>
      </c>
      <c r="BB77" s="448">
        <f t="shared" si="78"/>
        <v>3.8879510000000002</v>
      </c>
      <c r="BC77" s="448">
        <f>TRUNC(SUM(AW77:BB77),2)</f>
        <v>27.64</v>
      </c>
      <c r="BD77" s="448">
        <f>IF($J77="EFETIVO",$Y77*BD$10,0)</f>
        <v>31.789717</v>
      </c>
      <c r="BE77" s="448">
        <f>IF($J77="EFETIVO",$Y77*BE$10,0)</f>
        <v>19.211052000000002</v>
      </c>
      <c r="BF77" s="448">
        <f>IF($J77="EFETIVO",$Y77*BF$10,0)</f>
        <v>7.5471990000000009</v>
      </c>
      <c r="BG77" s="448">
        <f>IF($J77="EFETIVO",$Y77*BG$10,0)</f>
        <v>0</v>
      </c>
      <c r="BH77" s="448">
        <f>IF($J77="EFETIVO",$Y77*BH$10,0)</f>
        <v>21.545652224000001</v>
      </c>
      <c r="BI77" s="448">
        <f>TRUNC(SUM(BD77:BH77),2)</f>
        <v>80.09</v>
      </c>
      <c r="BJ77" s="448">
        <f>TRUNC((BI77+BC77+AV77+AU77),2)</f>
        <v>953.47</v>
      </c>
      <c r="BK77" s="448">
        <f t="shared" si="18"/>
        <v>190.50959900000001</v>
      </c>
      <c r="BL77" s="448">
        <f t="shared" si="19"/>
        <v>254.08903300000003</v>
      </c>
      <c r="BM77" s="448">
        <f>$BM$10*BK77</f>
        <v>70.107532431999999</v>
      </c>
      <c r="BN77" s="448">
        <f>$BN$10*BL77</f>
        <v>93.504764144000006</v>
      </c>
      <c r="BO77" s="448">
        <f>$BO$10*AE77</f>
        <v>98.342290000000006</v>
      </c>
      <c r="BP77" s="448"/>
      <c r="BQ77" s="448">
        <f>TRUNC(SUM(BK77:BP77),2)</f>
        <v>706.55</v>
      </c>
      <c r="BR77" s="448">
        <f>TRUNC((BJ77+BQ77),2)</f>
        <v>1660.02</v>
      </c>
      <c r="BS77" s="448">
        <f>IF($J77="EFETIVO",BS$10,0)</f>
        <v>288.66000000000003</v>
      </c>
      <c r="BT77" s="448">
        <f>IF($J77="EFETIVO",BT$10,0)</f>
        <v>346.26</v>
      </c>
      <c r="BU77" s="448">
        <f>((AC77+AO77+AT77+BJ77+BS77+BT77)*E77)</f>
        <v>272.96300616000002</v>
      </c>
      <c r="BV77" s="448">
        <f>BQ77*E77</f>
        <v>42.322344999999999</v>
      </c>
      <c r="BW77" s="448">
        <f>SUM(BU77:BV77)</f>
        <v>315.28535116</v>
      </c>
      <c r="BX77" s="448">
        <f>BS77+BT77+BW77</f>
        <v>950.20535116000008</v>
      </c>
      <c r="BY77" s="448">
        <f>(AC77+AO77+AT77+BJ77+BX77)</f>
        <v>4872.2637511599996</v>
      </c>
      <c r="BZ77" s="448">
        <f>BQ77</f>
        <v>706.55</v>
      </c>
      <c r="CA77" s="448">
        <f>BY77+BZ77</f>
        <v>5578.8137511599998</v>
      </c>
      <c r="CB77" s="449"/>
    </row>
    <row r="78" spans="1:80" s="480" customFormat="1" ht="15.75" customHeight="1">
      <c r="A78" s="462"/>
      <c r="B78" s="462"/>
      <c r="C78" s="462" t="s">
        <v>3891</v>
      </c>
      <c r="D78" s="463"/>
      <c r="E78" s="464"/>
      <c r="F78" s="465"/>
      <c r="G78" s="466"/>
      <c r="H78" s="467"/>
      <c r="I78" s="462"/>
      <c r="J78" s="468"/>
      <c r="K78" s="462"/>
      <c r="L78" s="469"/>
      <c r="M78" s="469"/>
      <c r="N78" s="468"/>
      <c r="O78" s="468"/>
      <c r="P78" s="468"/>
      <c r="Q78" s="470"/>
      <c r="R78" s="470"/>
      <c r="S78" s="470"/>
      <c r="T78" s="470"/>
      <c r="U78" s="470"/>
      <c r="V78" s="470"/>
      <c r="W78" s="470"/>
      <c r="X78" s="470"/>
      <c r="Y78" s="471"/>
      <c r="Z78" s="472"/>
      <c r="AA78" s="473"/>
      <c r="AB78" s="474"/>
      <c r="AC78" s="475"/>
      <c r="AD78" s="476"/>
      <c r="AE78" s="470"/>
      <c r="AF78" s="477">
        <f t="shared" ref="AF78:BZ78" si="79">SUBTOTAL(9,AF77)</f>
        <v>112.9</v>
      </c>
      <c r="AG78" s="477">
        <f t="shared" si="79"/>
        <v>287.82</v>
      </c>
      <c r="AH78" s="477">
        <f t="shared" si="79"/>
        <v>51.828400000000002</v>
      </c>
      <c r="AI78" s="477">
        <f t="shared" si="79"/>
        <v>91.08</v>
      </c>
      <c r="AJ78" s="477">
        <f t="shared" si="79"/>
        <v>17.03</v>
      </c>
      <c r="AK78" s="477">
        <f t="shared" si="79"/>
        <v>0</v>
      </c>
      <c r="AL78" s="477">
        <f t="shared" si="79"/>
        <v>0</v>
      </c>
      <c r="AM78" s="477">
        <f t="shared" si="79"/>
        <v>0</v>
      </c>
      <c r="AN78" s="477">
        <f t="shared" si="79"/>
        <v>0</v>
      </c>
      <c r="AO78" s="477">
        <f t="shared" si="79"/>
        <v>560.65840000000003</v>
      </c>
      <c r="AP78" s="477">
        <f t="shared" si="79"/>
        <v>62.37</v>
      </c>
      <c r="AQ78" s="477">
        <f t="shared" si="79"/>
        <v>0</v>
      </c>
      <c r="AR78" s="477">
        <f t="shared" si="79"/>
        <v>58.53</v>
      </c>
      <c r="AS78" s="477">
        <f t="shared" si="79"/>
        <v>0</v>
      </c>
      <c r="AT78" s="477">
        <f t="shared" si="79"/>
        <v>120.9</v>
      </c>
      <c r="AU78" s="477">
        <f t="shared" si="79"/>
        <v>841.62704000000008</v>
      </c>
      <c r="AV78" s="477">
        <f t="shared" si="79"/>
        <v>4.1166540000000005</v>
      </c>
      <c r="AW78" s="477">
        <f t="shared" si="79"/>
        <v>11.435150000000002</v>
      </c>
      <c r="AX78" s="477">
        <f t="shared" si="79"/>
        <v>0.91481200000000007</v>
      </c>
      <c r="AY78" s="477">
        <f t="shared" si="79"/>
        <v>0.45740600000000003</v>
      </c>
      <c r="AZ78" s="477">
        <f t="shared" si="79"/>
        <v>8.0046050000000015</v>
      </c>
      <c r="BA78" s="477">
        <f t="shared" si="79"/>
        <v>2.9456946400000006</v>
      </c>
      <c r="BB78" s="477">
        <f t="shared" si="79"/>
        <v>3.8879510000000002</v>
      </c>
      <c r="BC78" s="477">
        <f t="shared" si="79"/>
        <v>27.64</v>
      </c>
      <c r="BD78" s="477">
        <f t="shared" si="79"/>
        <v>31.789717</v>
      </c>
      <c r="BE78" s="477">
        <f t="shared" si="79"/>
        <v>19.211052000000002</v>
      </c>
      <c r="BF78" s="477">
        <f t="shared" si="79"/>
        <v>7.5471990000000009</v>
      </c>
      <c r="BG78" s="477">
        <f t="shared" si="79"/>
        <v>0</v>
      </c>
      <c r="BH78" s="477">
        <f t="shared" si="79"/>
        <v>21.545652224000001</v>
      </c>
      <c r="BI78" s="477">
        <f t="shared" si="79"/>
        <v>80.09</v>
      </c>
      <c r="BJ78" s="477">
        <f t="shared" si="79"/>
        <v>953.47</v>
      </c>
      <c r="BK78" s="477">
        <f t="shared" si="79"/>
        <v>190.50959900000001</v>
      </c>
      <c r="BL78" s="477">
        <f t="shared" si="79"/>
        <v>254.08903300000003</v>
      </c>
      <c r="BM78" s="477">
        <f t="shared" si="79"/>
        <v>70.107532431999999</v>
      </c>
      <c r="BN78" s="477">
        <f t="shared" si="79"/>
        <v>93.504764144000006</v>
      </c>
      <c r="BO78" s="477">
        <f t="shared" si="79"/>
        <v>98.342290000000006</v>
      </c>
      <c r="BP78" s="477">
        <f t="shared" si="79"/>
        <v>0</v>
      </c>
      <c r="BQ78" s="477">
        <f t="shared" si="79"/>
        <v>706.55</v>
      </c>
      <c r="BR78" s="477">
        <f t="shared" si="79"/>
        <v>1660.02</v>
      </c>
      <c r="BS78" s="477">
        <f t="shared" si="79"/>
        <v>288.66000000000003</v>
      </c>
      <c r="BT78" s="477">
        <f t="shared" si="79"/>
        <v>346.26</v>
      </c>
      <c r="BU78" s="477">
        <f t="shared" si="79"/>
        <v>272.96300616000002</v>
      </c>
      <c r="BV78" s="477">
        <f t="shared" si="79"/>
        <v>42.322344999999999</v>
      </c>
      <c r="BW78" s="477">
        <f t="shared" si="79"/>
        <v>315.28535116</v>
      </c>
      <c r="BX78" s="477">
        <f t="shared" si="79"/>
        <v>950.20535116000008</v>
      </c>
      <c r="BY78" s="477">
        <f t="shared" si="79"/>
        <v>4872.2637511599996</v>
      </c>
      <c r="BZ78" s="477">
        <f t="shared" si="79"/>
        <v>706.55</v>
      </c>
      <c r="CA78" s="477">
        <f>SUBTOTAL(9,CA77)</f>
        <v>5578.8137511599998</v>
      </c>
      <c r="CB78" s="479"/>
    </row>
    <row r="79" spans="1:80" s="450" customFormat="1" ht="15.75" customHeight="1">
      <c r="A79" s="435">
        <v>1</v>
      </c>
      <c r="B79" s="435">
        <v>1</v>
      </c>
      <c r="C79" s="435" t="s">
        <v>3257</v>
      </c>
      <c r="D79" s="436">
        <f>VLOOKUP(C79,ISS!A:B,2,0)</f>
        <v>0.05</v>
      </c>
      <c r="E79" s="437">
        <f>IF(D79=2%,5.99%,IF(D79=2.5%,6.55%,IF(D79=3%,7.12%,IF(D79=3.5%,7.7%,IF(D79=4%,8.28%,IF(D79=5%,9.46%))))))</f>
        <v>9.4600000000000004E-2</v>
      </c>
      <c r="F79" s="438">
        <v>54</v>
      </c>
      <c r="G79" s="439">
        <v>12394</v>
      </c>
      <c r="H79" s="440" t="s">
        <v>3988</v>
      </c>
      <c r="I79" s="435" t="s">
        <v>3849</v>
      </c>
      <c r="J79" s="102" t="s">
        <v>3521</v>
      </c>
      <c r="K79" s="435" t="str">
        <f t="shared" si="38"/>
        <v>Governador ValadaresVIGILANTE ARMADO - 220 H</v>
      </c>
      <c r="L79" s="441" t="s">
        <v>3875</v>
      </c>
      <c r="M79" s="441"/>
      <c r="N79" s="102"/>
      <c r="O79" s="102"/>
      <c r="P79" s="102"/>
      <c r="Q79" s="442">
        <f>VLOOKUP('BANCO DADOS-CUSTO TOTAL'!$K79,PARAMETROS!$E:AX,3,0)</f>
        <v>1602.86</v>
      </c>
      <c r="R79" s="442">
        <f>VLOOKUP('BANCO DADOS-CUSTO TOTAL'!$K79,PARAMETROS!$E:AY,4,0)</f>
        <v>0</v>
      </c>
      <c r="S79" s="442">
        <f>VLOOKUP('BANCO DADOS-CUSTO TOTAL'!$K79,PARAMETROS!$E:AZ,5,0)</f>
        <v>480.85799999999995</v>
      </c>
      <c r="T79" s="442">
        <f>VLOOKUP('BANCO DADOS-CUSTO TOTAL'!$K79,PARAMETROS!$E:BA,6,0)</f>
        <v>0</v>
      </c>
      <c r="U79" s="442">
        <f>VLOOKUP('BANCO DADOS-CUSTO TOTAL'!$K79,PARAMETROS!$E:BB,7,0)</f>
        <v>0</v>
      </c>
      <c r="V79" s="442">
        <f>VLOOKUP('BANCO DADOS-CUSTO TOTAL'!$K79,PARAMETROS!$E:BC,8,0)</f>
        <v>0</v>
      </c>
      <c r="W79" s="442">
        <f>VLOOKUP('BANCO DADOS-CUSTO TOTAL'!$K79,PARAMETROS!$E:BD,9,0)</f>
        <v>189.42890909090909</v>
      </c>
      <c r="X79" s="442">
        <f>VLOOKUP('BANCO DADOS-CUSTO TOTAL'!$K79,PARAMETROS!$E:BE,10,0)</f>
        <v>13.891453333333336</v>
      </c>
      <c r="Y79" s="443">
        <f t="shared" ref="Y79:Y81" si="80">TRUNC(SUM(Q79:X79),2)</f>
        <v>2287.0300000000002</v>
      </c>
      <c r="Z79" s="456"/>
      <c r="AA79" s="444">
        <v>30</v>
      </c>
      <c r="AB79" s="445">
        <f>IF(J79="EFETIVO",IF(AND(L79="",M79=""),$M$5,IF(AND(L79&lt;&gt;"",M79&lt;&gt;"",MONTH(L79)=MONTH(M79),YEAR(L79)=YEAR(M79)),M79-L79+1,IF(AND(L79&lt;&gt;"",M79&lt;&gt;"",MONTH(L79)&lt;&gt;MONTH(M79)),DAY(M79),IF(AND(L79="",M79&lt;&gt;"",MONTH($H$5)=MONTH(M79),YEAR(M79)=YEAR($H$5)),M79-$K$5+1,IF(AND(L79&lt;&gt;"",M79="",MONTH($K$5)=MONTH(L79),YEAR($K$5)=YEAR(L79)),30-DAY(L79)+1,$M$5))))),0)</f>
        <v>30</v>
      </c>
      <c r="AC79" s="446">
        <f>(Y79/30)*(AA79-Z79)</f>
        <v>2287.0300000000002</v>
      </c>
      <c r="AD79" s="447">
        <f>Y79</f>
        <v>2287.0300000000002</v>
      </c>
      <c r="AE79" s="447">
        <f>IF(AND(J79="EFETIVO",N79="FÉRIAS"),AD79,IF(J79="EFETIVO",AC79,0))</f>
        <v>2287.0300000000002</v>
      </c>
      <c r="AF79" s="443">
        <f>IF(J79="EFETIVO",VLOOKUP(K79,PARAMETROS!$E:AX,11,0),0)</f>
        <v>112.9</v>
      </c>
      <c r="AG79" s="443">
        <f>VLOOKUP(H79,'VA E VT - APOIO.LIMPEZA'!F:AX,14,0)</f>
        <v>287.82</v>
      </c>
      <c r="AH79" s="443">
        <f>VLOOKUP($H79,'VA E VT - APOIO.LIMPEZA'!$F:AY,20,0)</f>
        <v>51.828400000000002</v>
      </c>
      <c r="AI79" s="443">
        <f>IF($J79="EFETIVO",VLOOKUP($K79,PARAMETROS!$E:BA,14,0),0)</f>
        <v>91.08</v>
      </c>
      <c r="AJ79" s="443">
        <f>IF($J79="EFETIVO",VLOOKUP($K79,PARAMETROS!$E:BB,15,0),0)</f>
        <v>17.03</v>
      </c>
      <c r="AK79" s="443"/>
      <c r="AL79" s="443"/>
      <c r="AM79" s="443"/>
      <c r="AN79" s="443"/>
      <c r="AO79" s="448">
        <f t="shared" ref="AO79:AO81" si="81">SUM(AF79:AN79)</f>
        <v>560.65840000000003</v>
      </c>
      <c r="AP79" s="443">
        <f>IF($J79="EFETIVO",VLOOKUP($K79,PARAMETROS!$E:BH,20,0),0)</f>
        <v>62.37</v>
      </c>
      <c r="AQ79" s="446"/>
      <c r="AR79" s="443">
        <f>IF($J79="EFETIVO",VLOOKUP($K79,PARAMETROS!$E:BJ,22,0),0)</f>
        <v>58.53</v>
      </c>
      <c r="AS79" s="446"/>
      <c r="AT79" s="448">
        <f t="shared" ref="AT79:AT81" si="82">(AP79+AQ79+AR79+AS79)</f>
        <v>120.9</v>
      </c>
      <c r="AU79" s="448">
        <f>$AU$10*AC79</f>
        <v>841.62704000000008</v>
      </c>
      <c r="AV79" s="448">
        <f t="shared" ref="AV79:BB81" si="83">IF($J79="EFETIVO",$Y79*AV$10,0)</f>
        <v>4.1166540000000005</v>
      </c>
      <c r="AW79" s="448">
        <f t="shared" si="83"/>
        <v>11.435150000000002</v>
      </c>
      <c r="AX79" s="448">
        <f t="shared" si="83"/>
        <v>0.91481200000000007</v>
      </c>
      <c r="AY79" s="448">
        <f t="shared" si="83"/>
        <v>0.45740600000000003</v>
      </c>
      <c r="AZ79" s="448">
        <f t="shared" si="83"/>
        <v>8.0046050000000015</v>
      </c>
      <c r="BA79" s="448">
        <f t="shared" si="83"/>
        <v>2.9456946400000006</v>
      </c>
      <c r="BB79" s="448">
        <f t="shared" si="83"/>
        <v>3.8879510000000002</v>
      </c>
      <c r="BC79" s="448">
        <f t="shared" ref="BC79:BC81" si="84">TRUNC(SUM(AW79:BB79),2)</f>
        <v>27.64</v>
      </c>
      <c r="BD79" s="448">
        <f t="shared" ref="BD79:BH81" si="85">IF($J79="EFETIVO",$Y79*BD$10,0)</f>
        <v>31.789717</v>
      </c>
      <c r="BE79" s="448">
        <f t="shared" si="85"/>
        <v>19.211052000000002</v>
      </c>
      <c r="BF79" s="448">
        <f t="shared" si="85"/>
        <v>7.5471990000000009</v>
      </c>
      <c r="BG79" s="448">
        <f t="shared" si="85"/>
        <v>0</v>
      </c>
      <c r="BH79" s="448">
        <f t="shared" si="85"/>
        <v>21.545652224000001</v>
      </c>
      <c r="BI79" s="448">
        <f t="shared" ref="BI79:BI81" si="86">TRUNC(SUM(BD79:BH79),2)</f>
        <v>80.09</v>
      </c>
      <c r="BJ79" s="448">
        <f t="shared" ref="BJ79:BJ81" si="87">TRUNC((BI79+BC79+AV79+AU79),2)</f>
        <v>953.47</v>
      </c>
      <c r="BK79" s="448">
        <f t="shared" si="18"/>
        <v>190.50959900000001</v>
      </c>
      <c r="BL79" s="448">
        <f t="shared" si="19"/>
        <v>254.08903300000003</v>
      </c>
      <c r="BM79" s="448">
        <f>$BM$10*BK79</f>
        <v>70.107532431999999</v>
      </c>
      <c r="BN79" s="448">
        <f>$BN$10*BL79</f>
        <v>93.504764144000006</v>
      </c>
      <c r="BO79" s="448">
        <f>$BO$10*AE79</f>
        <v>98.342290000000006</v>
      </c>
      <c r="BP79" s="448"/>
      <c r="BQ79" s="448">
        <f t="shared" ref="BQ79:BQ81" si="88">TRUNC(SUM(BK79:BP79),2)</f>
        <v>706.55</v>
      </c>
      <c r="BR79" s="448">
        <f t="shared" ref="BR79:BR81" si="89">TRUNC((BJ79+BQ79),2)</f>
        <v>1660.02</v>
      </c>
      <c r="BS79" s="448">
        <f t="shared" ref="BS79:BT81" si="90">IF($J79="EFETIVO",BS$10,0)</f>
        <v>288.66000000000003</v>
      </c>
      <c r="BT79" s="448">
        <f>IF($J79="EFETIVO",BT$10,0)</f>
        <v>346.26</v>
      </c>
      <c r="BU79" s="448">
        <f>((AC79+AO79+AT79+BJ79+BS79+BT79)*E79)</f>
        <v>431.09015664000003</v>
      </c>
      <c r="BV79" s="448">
        <f>BQ79*E79</f>
        <v>66.83963</v>
      </c>
      <c r="BW79" s="448">
        <f>SUM(BU79:BV79)</f>
        <v>497.92978664000003</v>
      </c>
      <c r="BX79" s="448">
        <f>BS79+BT79+BW79</f>
        <v>1132.84978664</v>
      </c>
      <c r="BY79" s="448">
        <f t="shared" ref="BY79:BY81" si="91">(AC79+AO79+AT79+BJ79+BX79)</f>
        <v>5054.9081866400002</v>
      </c>
      <c r="BZ79" s="448">
        <f>BQ79</f>
        <v>706.55</v>
      </c>
      <c r="CA79" s="448">
        <f>BY79+BZ79</f>
        <v>5761.4581866400003</v>
      </c>
      <c r="CB79" s="449"/>
    </row>
    <row r="80" spans="1:80" s="450" customFormat="1" ht="15.75" customHeight="1">
      <c r="A80" s="435">
        <v>1</v>
      </c>
      <c r="B80" s="435">
        <v>1</v>
      </c>
      <c r="C80" s="435" t="s">
        <v>3257</v>
      </c>
      <c r="D80" s="436">
        <f>VLOOKUP(C80,ISS!A:B,2,0)</f>
        <v>0.05</v>
      </c>
      <c r="E80" s="437">
        <f>IF(D80=2%,5.99%,IF(D80=2.5%,6.55%,IF(D80=3%,7.12%,IF(D80=3.5%,7.7%,IF(D80=4%,8.28%,IF(D80=5%,9.46%))))))</f>
        <v>9.4600000000000004E-2</v>
      </c>
      <c r="F80" s="438">
        <v>55</v>
      </c>
      <c r="G80" s="439">
        <v>12395</v>
      </c>
      <c r="H80" s="440" t="s">
        <v>3989</v>
      </c>
      <c r="I80" s="435" t="s">
        <v>3848</v>
      </c>
      <c r="J80" s="102" t="s">
        <v>3521</v>
      </c>
      <c r="K80" s="435" t="str">
        <f t="shared" si="38"/>
        <v>Governador ValadaresVIGILANTE ARMADO - 12X36 DIURNO</v>
      </c>
      <c r="L80" s="441" t="s">
        <v>3875</v>
      </c>
      <c r="M80" s="441"/>
      <c r="N80" s="102"/>
      <c r="O80" s="102"/>
      <c r="P80" s="102"/>
      <c r="Q80" s="442">
        <f>VLOOKUP('BANCO DADOS-CUSTO TOTAL'!$K80,PARAMETROS!$E:AX,3,0)</f>
        <v>1602.86</v>
      </c>
      <c r="R80" s="442">
        <f>VLOOKUP('BANCO DADOS-CUSTO TOTAL'!$K80,PARAMETROS!$E:AY,4,0)</f>
        <v>0</v>
      </c>
      <c r="S80" s="442">
        <f>VLOOKUP('BANCO DADOS-CUSTO TOTAL'!$K80,PARAMETROS!$E:AZ,5,0)</f>
        <v>480.85799999999995</v>
      </c>
      <c r="T80" s="442">
        <f>VLOOKUP('BANCO DADOS-CUSTO TOTAL'!$K80,PARAMETROS!$E:BA,6,0)</f>
        <v>0</v>
      </c>
      <c r="U80" s="442">
        <f>VLOOKUP('BANCO DADOS-CUSTO TOTAL'!$K80,PARAMETROS!$E:BB,7,0)</f>
        <v>0</v>
      </c>
      <c r="V80" s="442">
        <f>VLOOKUP('BANCO DADOS-CUSTO TOTAL'!$K80,PARAMETROS!$E:BC,8,0)</f>
        <v>0</v>
      </c>
      <c r="W80" s="442">
        <f>VLOOKUP('BANCO DADOS-CUSTO TOTAL'!$K80,PARAMETROS!$E:BD,9,0)</f>
        <v>146.80740454545455</v>
      </c>
      <c r="X80" s="442">
        <f>VLOOKUP('BANCO DADOS-CUSTO TOTAL'!$K80,PARAMETROS!$E:BE,10,0)</f>
        <v>47.357227272727279</v>
      </c>
      <c r="Y80" s="443">
        <f t="shared" si="80"/>
        <v>2277.88</v>
      </c>
      <c r="Z80" s="456"/>
      <c r="AA80" s="444">
        <v>30</v>
      </c>
      <c r="AB80" s="445">
        <f>IF(J80="EFETIVO",IF(AND(L80="",M80=""),$M$5,IF(AND(L80&lt;&gt;"",M80&lt;&gt;"",MONTH(L80)=MONTH(M80),YEAR(L80)=YEAR(M80)),M80-L80+1,IF(AND(L80&lt;&gt;"",M80&lt;&gt;"",MONTH(L80)&lt;&gt;MONTH(M80)),DAY(M80),IF(AND(L80="",M80&lt;&gt;"",MONTH($H$5)=MONTH(M80),YEAR(M80)=YEAR($H$5)),M80-$K$5+1,IF(AND(L80&lt;&gt;"",M80="",MONTH($K$5)=MONTH(L80),YEAR($K$5)=YEAR(L80)),30-DAY(L80)+1,$M$5))))),0)</f>
        <v>30</v>
      </c>
      <c r="AC80" s="446">
        <f>(Y80/30)*(AA80-Z80)</f>
        <v>2277.88</v>
      </c>
      <c r="AD80" s="447">
        <f>Y80</f>
        <v>2277.88</v>
      </c>
      <c r="AE80" s="447">
        <f>IF(AND(J80="EFETIVO",N80="FÉRIAS"),AD80,IF(J80="EFETIVO",AC80,0))</f>
        <v>2277.88</v>
      </c>
      <c r="AF80" s="443">
        <f>IF(J80="EFETIVO",VLOOKUP(K80,PARAMETROS!$E:AX,11,0),0)</f>
        <v>112.9</v>
      </c>
      <c r="AG80" s="443">
        <f>VLOOKUP(H80,'VA E VT - APOIO.LIMPEZA'!F:AX,14,0)</f>
        <v>223.06049999999999</v>
      </c>
      <c r="AH80" s="443">
        <f>VLOOKUP($H80,'VA E VT - APOIO.LIMPEZA'!$F:AY,20,0)</f>
        <v>18.528400000000005</v>
      </c>
      <c r="AI80" s="443">
        <f>IF($J80="EFETIVO",VLOOKUP($K80,PARAMETROS!$E:BA,14,0),0)</f>
        <v>91.08</v>
      </c>
      <c r="AJ80" s="443">
        <f>IF($J80="EFETIVO",VLOOKUP($K80,PARAMETROS!$E:BB,15,0),0)</f>
        <v>17.03</v>
      </c>
      <c r="AK80" s="443"/>
      <c r="AL80" s="443"/>
      <c r="AM80" s="443"/>
      <c r="AN80" s="443"/>
      <c r="AO80" s="448">
        <f t="shared" si="81"/>
        <v>462.59890000000007</v>
      </c>
      <c r="AP80" s="443">
        <f>IF($J80="EFETIVO",VLOOKUP($K80,PARAMETROS!$E:BH,20,0),0)</f>
        <v>62.37</v>
      </c>
      <c r="AQ80" s="446"/>
      <c r="AR80" s="443">
        <f>IF($J80="EFETIVO",VLOOKUP($K80,PARAMETROS!$E:BJ,22,0),0)</f>
        <v>58.53</v>
      </c>
      <c r="AS80" s="446"/>
      <c r="AT80" s="448">
        <f t="shared" si="82"/>
        <v>120.9</v>
      </c>
      <c r="AU80" s="448">
        <f>$AU$10*AC80</f>
        <v>838.25984000000005</v>
      </c>
      <c r="AV80" s="448">
        <f t="shared" si="83"/>
        <v>4.1001840000000005</v>
      </c>
      <c r="AW80" s="448">
        <f t="shared" si="83"/>
        <v>11.3894</v>
      </c>
      <c r="AX80" s="448">
        <f t="shared" si="83"/>
        <v>0.91115200000000007</v>
      </c>
      <c r="AY80" s="448">
        <f t="shared" si="83"/>
        <v>0.45557600000000004</v>
      </c>
      <c r="AZ80" s="448">
        <f t="shared" si="83"/>
        <v>7.9725800000000007</v>
      </c>
      <c r="BA80" s="448">
        <f t="shared" si="83"/>
        <v>2.9339094400000003</v>
      </c>
      <c r="BB80" s="448">
        <f t="shared" si="83"/>
        <v>3.8723960000000002</v>
      </c>
      <c r="BC80" s="448">
        <f t="shared" si="84"/>
        <v>27.53</v>
      </c>
      <c r="BD80" s="448">
        <f t="shared" si="85"/>
        <v>31.662531999999999</v>
      </c>
      <c r="BE80" s="448">
        <f t="shared" si="85"/>
        <v>19.134191999999999</v>
      </c>
      <c r="BF80" s="448">
        <f t="shared" si="85"/>
        <v>7.517004</v>
      </c>
      <c r="BG80" s="448">
        <f t="shared" si="85"/>
        <v>0</v>
      </c>
      <c r="BH80" s="448">
        <f t="shared" si="85"/>
        <v>21.459451904000002</v>
      </c>
      <c r="BI80" s="448">
        <f t="shared" si="86"/>
        <v>79.77</v>
      </c>
      <c r="BJ80" s="448">
        <f t="shared" si="87"/>
        <v>949.66</v>
      </c>
      <c r="BK80" s="448">
        <f t="shared" si="18"/>
        <v>189.74740400000002</v>
      </c>
      <c r="BL80" s="448">
        <f t="shared" si="19"/>
        <v>253.07246800000001</v>
      </c>
      <c r="BM80" s="448">
        <f>$BM$10*BK80</f>
        <v>69.827044672</v>
      </c>
      <c r="BN80" s="448">
        <f>$BN$10*BL80</f>
        <v>93.130668224000004</v>
      </c>
      <c r="BO80" s="448">
        <f>$BO$10*AE80</f>
        <v>97.94883999999999</v>
      </c>
      <c r="BP80" s="448"/>
      <c r="BQ80" s="448">
        <f t="shared" si="88"/>
        <v>703.72</v>
      </c>
      <c r="BR80" s="448">
        <f t="shared" si="89"/>
        <v>1653.38</v>
      </c>
      <c r="BS80" s="448">
        <f t="shared" si="90"/>
        <v>288.66000000000003</v>
      </c>
      <c r="BT80" s="448">
        <f t="shared" si="90"/>
        <v>346.26</v>
      </c>
      <c r="BU80" s="448">
        <f>((AC80+AO80+AT80+BJ80+BS80+BT80)*E80)</f>
        <v>420.58771194000008</v>
      </c>
      <c r="BV80" s="448">
        <f>BQ80*E80</f>
        <v>66.571912000000012</v>
      </c>
      <c r="BW80" s="448">
        <f>SUM(BU80:BV80)</f>
        <v>487.15962394000007</v>
      </c>
      <c r="BX80" s="448">
        <f>BS80+BT80+BW80</f>
        <v>1122.0796239400001</v>
      </c>
      <c r="BY80" s="448">
        <f t="shared" si="91"/>
        <v>4933.1185239400002</v>
      </c>
      <c r="BZ80" s="448">
        <f>BQ80</f>
        <v>703.72</v>
      </c>
      <c r="CA80" s="448">
        <f>BY80+BZ80</f>
        <v>5636.8385239400004</v>
      </c>
      <c r="CB80" s="449"/>
    </row>
    <row r="81" spans="1:80" s="450" customFormat="1" ht="15.75" customHeight="1">
      <c r="A81" s="435">
        <v>1</v>
      </c>
      <c r="B81" s="435">
        <v>1</v>
      </c>
      <c r="C81" s="435" t="s">
        <v>3257</v>
      </c>
      <c r="D81" s="436">
        <f>VLOOKUP(C81,ISS!A:B,2,0)</f>
        <v>0.05</v>
      </c>
      <c r="E81" s="437">
        <f>IF(D81=2%,5.99%,IF(D81=2.5%,6.55%,IF(D81=3%,7.12%,IF(D81=3.5%,7.7%,IF(D81=4%,8.28%,IF(D81=5%,9.46%))))))</f>
        <v>9.4600000000000004E-2</v>
      </c>
      <c r="F81" s="438">
        <v>56</v>
      </c>
      <c r="G81" s="439">
        <v>12396</v>
      </c>
      <c r="H81" s="440" t="s">
        <v>3990</v>
      </c>
      <c r="I81" s="435" t="s">
        <v>3848</v>
      </c>
      <c r="J81" s="102" t="s">
        <v>3521</v>
      </c>
      <c r="K81" s="435" t="str">
        <f>CONCATENATE(C81,I81)</f>
        <v>Governador ValadaresVIGILANTE ARMADO - 12X36 DIURNO</v>
      </c>
      <c r="L81" s="441" t="s">
        <v>3875</v>
      </c>
      <c r="M81" s="441"/>
      <c r="N81" s="102"/>
      <c r="O81" s="102"/>
      <c r="P81" s="102"/>
      <c r="Q81" s="442">
        <f>VLOOKUP('BANCO DADOS-CUSTO TOTAL'!$K81,PARAMETROS!$E:AX,3,0)</f>
        <v>1602.86</v>
      </c>
      <c r="R81" s="442">
        <f>VLOOKUP('BANCO DADOS-CUSTO TOTAL'!$K81,PARAMETROS!$E:AY,4,0)</f>
        <v>0</v>
      </c>
      <c r="S81" s="442">
        <f>VLOOKUP('BANCO DADOS-CUSTO TOTAL'!$K81,PARAMETROS!$E:AZ,5,0)</f>
        <v>480.85799999999995</v>
      </c>
      <c r="T81" s="442">
        <f>VLOOKUP('BANCO DADOS-CUSTO TOTAL'!$K81,PARAMETROS!$E:BA,6,0)</f>
        <v>0</v>
      </c>
      <c r="U81" s="442">
        <f>VLOOKUP('BANCO DADOS-CUSTO TOTAL'!$K81,PARAMETROS!$E:BB,7,0)</f>
        <v>0</v>
      </c>
      <c r="V81" s="442">
        <f>VLOOKUP('BANCO DADOS-CUSTO TOTAL'!$K81,PARAMETROS!$E:BC,8,0)</f>
        <v>0</v>
      </c>
      <c r="W81" s="442">
        <f>VLOOKUP('BANCO DADOS-CUSTO TOTAL'!$K81,PARAMETROS!$E:BD,9,0)</f>
        <v>146.80740454545455</v>
      </c>
      <c r="X81" s="442">
        <f>VLOOKUP('BANCO DADOS-CUSTO TOTAL'!$K81,PARAMETROS!$E:BE,10,0)</f>
        <v>47.357227272727279</v>
      </c>
      <c r="Y81" s="443">
        <f t="shared" si="80"/>
        <v>2277.88</v>
      </c>
      <c r="Z81" s="456"/>
      <c r="AA81" s="444">
        <v>30</v>
      </c>
      <c r="AB81" s="445">
        <f>IF(J81="EFETIVO",IF(AND(L81="",M81=""),$M$5,IF(AND(L81&lt;&gt;"",M81&lt;&gt;"",MONTH(L81)=MONTH(M81),YEAR(L81)=YEAR(M81)),M81-L81+1,IF(AND(L81&lt;&gt;"",M81&lt;&gt;"",MONTH(L81)&lt;&gt;MONTH(M81)),DAY(M81),IF(AND(L81="",M81&lt;&gt;"",MONTH($H$5)=MONTH(M81),YEAR(M81)=YEAR($H$5)),M81-$K$5+1,IF(AND(L81&lt;&gt;"",M81="",MONTH($K$5)=MONTH(L81),YEAR($K$5)=YEAR(L81)),30-DAY(L81)+1,$M$5))))),0)</f>
        <v>30</v>
      </c>
      <c r="AC81" s="446">
        <f>(Y81/30)*(AA81-Z81)</f>
        <v>2277.88</v>
      </c>
      <c r="AD81" s="447">
        <f>Y81</f>
        <v>2277.88</v>
      </c>
      <c r="AE81" s="447">
        <f>IF(AND(J81="EFETIVO",N81="FÉRIAS"),AD81,IF(J81="EFETIVO",AC81,0))</f>
        <v>2277.88</v>
      </c>
      <c r="AF81" s="443">
        <f>IF(J81="EFETIVO",VLOOKUP(K81,PARAMETROS!$E:AX,11,0),0)</f>
        <v>112.9</v>
      </c>
      <c r="AG81" s="443">
        <f>VLOOKUP(H81,'VA E VT - APOIO.LIMPEZA'!F:AX,14,0)</f>
        <v>223.06049999999999</v>
      </c>
      <c r="AH81" s="443">
        <f>VLOOKUP($H81,'VA E VT - APOIO.LIMPEZA'!$F:AY,20,0)</f>
        <v>18.528400000000005</v>
      </c>
      <c r="AI81" s="443">
        <f>IF($J81="EFETIVO",VLOOKUP($K81,PARAMETROS!$E:BA,14,0),0)</f>
        <v>91.08</v>
      </c>
      <c r="AJ81" s="443">
        <f>IF($J81="EFETIVO",VLOOKUP($K81,PARAMETROS!$E:BB,15,0),0)</f>
        <v>17.03</v>
      </c>
      <c r="AK81" s="443"/>
      <c r="AL81" s="443"/>
      <c r="AM81" s="443"/>
      <c r="AN81" s="443"/>
      <c r="AO81" s="448">
        <f t="shared" si="81"/>
        <v>462.59890000000007</v>
      </c>
      <c r="AP81" s="443">
        <f>IF($J81="EFETIVO",VLOOKUP($K81,PARAMETROS!$E:BH,20,0),0)</f>
        <v>62.37</v>
      </c>
      <c r="AQ81" s="446"/>
      <c r="AR81" s="443">
        <f>IF($J81="EFETIVO",VLOOKUP($K81,PARAMETROS!$E:BJ,22,0),0)</f>
        <v>58.53</v>
      </c>
      <c r="AS81" s="446"/>
      <c r="AT81" s="448">
        <f t="shared" si="82"/>
        <v>120.9</v>
      </c>
      <c r="AU81" s="448">
        <f>$AU$10*AC81</f>
        <v>838.25984000000005</v>
      </c>
      <c r="AV81" s="448">
        <f t="shared" si="83"/>
        <v>4.1001840000000005</v>
      </c>
      <c r="AW81" s="448">
        <f t="shared" si="83"/>
        <v>11.3894</v>
      </c>
      <c r="AX81" s="448">
        <f t="shared" si="83"/>
        <v>0.91115200000000007</v>
      </c>
      <c r="AY81" s="448">
        <f t="shared" si="83"/>
        <v>0.45557600000000004</v>
      </c>
      <c r="AZ81" s="448">
        <f t="shared" si="83"/>
        <v>7.9725800000000007</v>
      </c>
      <c r="BA81" s="448">
        <f t="shared" si="83"/>
        <v>2.9339094400000003</v>
      </c>
      <c r="BB81" s="448">
        <f t="shared" si="83"/>
        <v>3.8723960000000002</v>
      </c>
      <c r="BC81" s="448">
        <f t="shared" si="84"/>
        <v>27.53</v>
      </c>
      <c r="BD81" s="448">
        <f t="shared" si="85"/>
        <v>31.662531999999999</v>
      </c>
      <c r="BE81" s="448">
        <f t="shared" si="85"/>
        <v>19.134191999999999</v>
      </c>
      <c r="BF81" s="448">
        <f t="shared" si="85"/>
        <v>7.517004</v>
      </c>
      <c r="BG81" s="448">
        <f t="shared" si="85"/>
        <v>0</v>
      </c>
      <c r="BH81" s="448">
        <f t="shared" si="85"/>
        <v>21.459451904000002</v>
      </c>
      <c r="BI81" s="448">
        <f t="shared" si="86"/>
        <v>79.77</v>
      </c>
      <c r="BJ81" s="448">
        <f t="shared" si="87"/>
        <v>949.66</v>
      </c>
      <c r="BK81" s="448">
        <f>IF($N81="FÉRIAS",$AD81*$BK$10,IF($AB81&gt;=15,$AD81*$BK$10,0))</f>
        <v>189.74740400000002</v>
      </c>
      <c r="BL81" s="448">
        <f>IF($N81="FÉRIAS",$AD81*$BL$10,IF($AB81&gt;=15,$AD81*$BL$10,0))</f>
        <v>253.07246800000001</v>
      </c>
      <c r="BM81" s="448">
        <f>$BM$10*BK81</f>
        <v>69.827044672</v>
      </c>
      <c r="BN81" s="448">
        <f>$BN$10*BL81</f>
        <v>93.130668224000004</v>
      </c>
      <c r="BO81" s="448">
        <f>$BO$10*AE81</f>
        <v>97.94883999999999</v>
      </c>
      <c r="BP81" s="448"/>
      <c r="BQ81" s="448">
        <f t="shared" si="88"/>
        <v>703.72</v>
      </c>
      <c r="BR81" s="448">
        <f t="shared" si="89"/>
        <v>1653.38</v>
      </c>
      <c r="BS81" s="448">
        <f t="shared" si="90"/>
        <v>288.66000000000003</v>
      </c>
      <c r="BT81" s="448">
        <f t="shared" si="90"/>
        <v>346.26</v>
      </c>
      <c r="BU81" s="448">
        <f>((AC81+AO81+AT81+BJ81+BS81+BT81)*E81)</f>
        <v>420.58771194000008</v>
      </c>
      <c r="BV81" s="448">
        <f>BQ81*E81</f>
        <v>66.571912000000012</v>
      </c>
      <c r="BW81" s="448">
        <f>SUM(BU81:BV81)</f>
        <v>487.15962394000007</v>
      </c>
      <c r="BX81" s="448">
        <f>BS81+BT81+BW81</f>
        <v>1122.0796239400001</v>
      </c>
      <c r="BY81" s="448">
        <f t="shared" si="91"/>
        <v>4933.1185239400002</v>
      </c>
      <c r="BZ81" s="448">
        <f>BQ81</f>
        <v>703.72</v>
      </c>
      <c r="CA81" s="448">
        <f>BY81+BZ81</f>
        <v>5636.8385239400004</v>
      </c>
      <c r="CB81" s="449"/>
    </row>
    <row r="82" spans="1:80" s="480" customFormat="1" ht="15.75" customHeight="1">
      <c r="A82" s="462"/>
      <c r="B82" s="462"/>
      <c r="C82" s="462" t="s">
        <v>3892</v>
      </c>
      <c r="D82" s="463"/>
      <c r="E82" s="464"/>
      <c r="F82" s="465"/>
      <c r="G82" s="466"/>
      <c r="H82" s="467"/>
      <c r="I82" s="462"/>
      <c r="J82" s="468"/>
      <c r="K82" s="462"/>
      <c r="L82" s="469"/>
      <c r="M82" s="469"/>
      <c r="N82" s="468"/>
      <c r="O82" s="468"/>
      <c r="P82" s="468"/>
      <c r="Q82" s="470"/>
      <c r="R82" s="470"/>
      <c r="S82" s="470"/>
      <c r="T82" s="470"/>
      <c r="U82" s="470"/>
      <c r="V82" s="470"/>
      <c r="W82" s="470"/>
      <c r="X82" s="470"/>
      <c r="Y82" s="471"/>
      <c r="Z82" s="472"/>
      <c r="AA82" s="473"/>
      <c r="AB82" s="474"/>
      <c r="AC82" s="475"/>
      <c r="AD82" s="476"/>
      <c r="AE82" s="476"/>
      <c r="AF82" s="471">
        <f>SUBTOTAL(9,AF79:AF81)</f>
        <v>338.70000000000005</v>
      </c>
      <c r="AG82" s="471">
        <f t="shared" ref="AG82:CA82" si="92">SUBTOTAL(9,AG79:AG81)</f>
        <v>733.94100000000003</v>
      </c>
      <c r="AH82" s="471">
        <f t="shared" si="92"/>
        <v>88.885200000000012</v>
      </c>
      <c r="AI82" s="471">
        <f t="shared" si="92"/>
        <v>273.24</v>
      </c>
      <c r="AJ82" s="471">
        <f t="shared" si="92"/>
        <v>51.09</v>
      </c>
      <c r="AK82" s="471">
        <f t="shared" si="92"/>
        <v>0</v>
      </c>
      <c r="AL82" s="471">
        <f t="shared" si="92"/>
        <v>0</v>
      </c>
      <c r="AM82" s="471">
        <f t="shared" si="92"/>
        <v>0</v>
      </c>
      <c r="AN82" s="471">
        <f t="shared" si="92"/>
        <v>0</v>
      </c>
      <c r="AO82" s="471">
        <f t="shared" si="92"/>
        <v>1485.8562000000002</v>
      </c>
      <c r="AP82" s="471">
        <f t="shared" si="92"/>
        <v>187.10999999999999</v>
      </c>
      <c r="AQ82" s="471">
        <f t="shared" si="92"/>
        <v>0</v>
      </c>
      <c r="AR82" s="471">
        <f t="shared" si="92"/>
        <v>175.59</v>
      </c>
      <c r="AS82" s="471">
        <f t="shared" si="92"/>
        <v>0</v>
      </c>
      <c r="AT82" s="471">
        <f t="shared" si="92"/>
        <v>362.70000000000005</v>
      </c>
      <c r="AU82" s="471">
        <f t="shared" si="92"/>
        <v>2518.1467200000002</v>
      </c>
      <c r="AV82" s="471">
        <f t="shared" si="92"/>
        <v>12.317022000000001</v>
      </c>
      <c r="AW82" s="471">
        <f t="shared" si="92"/>
        <v>34.213950000000004</v>
      </c>
      <c r="AX82" s="471">
        <f t="shared" si="92"/>
        <v>2.7371160000000003</v>
      </c>
      <c r="AY82" s="471">
        <f t="shared" si="92"/>
        <v>1.3685580000000002</v>
      </c>
      <c r="AZ82" s="471">
        <f t="shared" si="92"/>
        <v>23.949765000000003</v>
      </c>
      <c r="BA82" s="471">
        <f t="shared" si="92"/>
        <v>8.8135135200000008</v>
      </c>
      <c r="BB82" s="471">
        <f t="shared" si="92"/>
        <v>11.632743000000001</v>
      </c>
      <c r="BC82" s="471">
        <f t="shared" si="92"/>
        <v>82.7</v>
      </c>
      <c r="BD82" s="471">
        <f t="shared" si="92"/>
        <v>95.114780999999994</v>
      </c>
      <c r="BE82" s="471">
        <f t="shared" si="92"/>
        <v>57.479436</v>
      </c>
      <c r="BF82" s="471">
        <f t="shared" si="92"/>
        <v>22.581206999999999</v>
      </c>
      <c r="BG82" s="471">
        <f t="shared" si="92"/>
        <v>0</v>
      </c>
      <c r="BH82" s="471">
        <f t="shared" si="92"/>
        <v>64.464556032000004</v>
      </c>
      <c r="BI82" s="471">
        <f t="shared" si="92"/>
        <v>239.63</v>
      </c>
      <c r="BJ82" s="471">
        <f t="shared" si="92"/>
        <v>2852.79</v>
      </c>
      <c r="BK82" s="471">
        <f t="shared" si="92"/>
        <v>570.00440700000013</v>
      </c>
      <c r="BL82" s="471">
        <f t="shared" si="92"/>
        <v>760.23396900000012</v>
      </c>
      <c r="BM82" s="471">
        <f t="shared" si="92"/>
        <v>209.761621776</v>
      </c>
      <c r="BN82" s="471">
        <f t="shared" si="92"/>
        <v>279.76610059200004</v>
      </c>
      <c r="BO82" s="471">
        <f t="shared" si="92"/>
        <v>294.23996999999997</v>
      </c>
      <c r="BP82" s="471">
        <f t="shared" si="92"/>
        <v>0</v>
      </c>
      <c r="BQ82" s="471">
        <f t="shared" si="92"/>
        <v>2113.9899999999998</v>
      </c>
      <c r="BR82" s="471">
        <f t="shared" si="92"/>
        <v>4966.7800000000007</v>
      </c>
      <c r="BS82" s="471">
        <f t="shared" si="92"/>
        <v>865.98</v>
      </c>
      <c r="BT82" s="471">
        <f t="shared" si="92"/>
        <v>1038.78</v>
      </c>
      <c r="BU82" s="471">
        <f t="shared" si="92"/>
        <v>1272.2655805200002</v>
      </c>
      <c r="BV82" s="471">
        <f t="shared" si="92"/>
        <v>199.98345399999999</v>
      </c>
      <c r="BW82" s="471">
        <f t="shared" si="92"/>
        <v>1472.2490345200001</v>
      </c>
      <c r="BX82" s="471">
        <f t="shared" si="92"/>
        <v>3377.0090345200001</v>
      </c>
      <c r="BY82" s="471">
        <f t="shared" si="92"/>
        <v>14921.145234520001</v>
      </c>
      <c r="BZ82" s="471">
        <f t="shared" si="92"/>
        <v>2113.9899999999998</v>
      </c>
      <c r="CA82" s="471">
        <f t="shared" si="92"/>
        <v>17035.135234520003</v>
      </c>
      <c r="CB82" s="479"/>
    </row>
    <row r="83" spans="1:80" s="450" customFormat="1" ht="15.75" customHeight="1">
      <c r="A83" s="435">
        <v>1</v>
      </c>
      <c r="B83" s="435">
        <v>1</v>
      </c>
      <c r="C83" s="435" t="s">
        <v>3836</v>
      </c>
      <c r="D83" s="436">
        <f>VLOOKUP(C83,ISS!A:B,2,0)</f>
        <v>0.05</v>
      </c>
      <c r="E83" s="437">
        <f>IF(D83=2%,5.99%,IF(D83=2.5%,6.55%,IF(D83=3%,7.12%,IF(D83=3.5%,7.7%,IF(D83=4%,8.28%,IF(D83=5%,9.46%))))))</f>
        <v>9.4600000000000004E-2</v>
      </c>
      <c r="F83" s="438">
        <v>57</v>
      </c>
      <c r="G83" s="439">
        <v>12397</v>
      </c>
      <c r="H83" s="440" t="s">
        <v>3991</v>
      </c>
      <c r="I83" s="435" t="s">
        <v>3849</v>
      </c>
      <c r="J83" s="102" t="s">
        <v>3521</v>
      </c>
      <c r="K83" s="435" t="str">
        <f t="shared" si="38"/>
        <v>IgarapéVIGILANTE ARMADO - 220 H</v>
      </c>
      <c r="L83" s="441" t="s">
        <v>3875</v>
      </c>
      <c r="M83" s="441"/>
      <c r="N83" s="102"/>
      <c r="O83" s="102"/>
      <c r="P83" s="102"/>
      <c r="Q83" s="442">
        <f>VLOOKUP('BANCO DADOS-CUSTO TOTAL'!$K83,PARAMETROS!$E:AX,3,0)</f>
        <v>1602.86</v>
      </c>
      <c r="R83" s="442">
        <f>VLOOKUP('BANCO DADOS-CUSTO TOTAL'!$K83,PARAMETROS!$E:AY,4,0)</f>
        <v>0</v>
      </c>
      <c r="S83" s="442">
        <f>VLOOKUP('BANCO DADOS-CUSTO TOTAL'!$K83,PARAMETROS!$E:AZ,5,0)</f>
        <v>480.85799999999995</v>
      </c>
      <c r="T83" s="442">
        <f>VLOOKUP('BANCO DADOS-CUSTO TOTAL'!$K83,PARAMETROS!$E:BA,6,0)</f>
        <v>0</v>
      </c>
      <c r="U83" s="442">
        <f>VLOOKUP('BANCO DADOS-CUSTO TOTAL'!$K83,PARAMETROS!$E:BB,7,0)</f>
        <v>0</v>
      </c>
      <c r="V83" s="442">
        <f>VLOOKUP('BANCO DADOS-CUSTO TOTAL'!$K83,PARAMETROS!$E:BC,8,0)</f>
        <v>0</v>
      </c>
      <c r="W83" s="442">
        <f>VLOOKUP('BANCO DADOS-CUSTO TOTAL'!$K83,PARAMETROS!$E:BD,9,0)</f>
        <v>189.42890909090909</v>
      </c>
      <c r="X83" s="442">
        <f>VLOOKUP('BANCO DADOS-CUSTO TOTAL'!$K83,PARAMETROS!$E:BE,10,0)</f>
        <v>13.891453333333336</v>
      </c>
      <c r="Y83" s="443">
        <f>TRUNC(SUM(Q83:X83),2)</f>
        <v>2287.0300000000002</v>
      </c>
      <c r="Z83" s="456"/>
      <c r="AA83" s="444">
        <v>30</v>
      </c>
      <c r="AB83" s="445">
        <f>IF(J83="EFETIVO",IF(AND(L83="",M83=""),$M$5,IF(AND(L83&lt;&gt;"",M83&lt;&gt;"",MONTH(L83)=MONTH(M83),YEAR(L83)=YEAR(M83)),M83-L83+1,IF(AND(L83&lt;&gt;"",M83&lt;&gt;"",MONTH(L83)&lt;&gt;MONTH(M83)),DAY(M83),IF(AND(L83="",M83&lt;&gt;"",MONTH($H$5)=MONTH(M83),YEAR(M83)=YEAR($H$5)),M83-$K$5+1,IF(AND(L83&lt;&gt;"",M83="",MONTH($K$5)=MONTH(L83),YEAR($K$5)=YEAR(L83)),30-DAY(L83)+1,$M$5))))),0)</f>
        <v>30</v>
      </c>
      <c r="AC83" s="446">
        <f>(Y83/30)*(AA83-Z83)</f>
        <v>2287.0300000000002</v>
      </c>
      <c r="AD83" s="447">
        <f>Y83</f>
        <v>2287.0300000000002</v>
      </c>
      <c r="AE83" s="447">
        <f>IF(AND(J83="EFETIVO",N83="FÉRIAS"),AD83,IF(J83="EFETIVO",AC83,0))</f>
        <v>2287.0300000000002</v>
      </c>
      <c r="AF83" s="443">
        <f>IF(J83="EFETIVO",VLOOKUP(K83,PARAMETROS!$E:AX,11,0),0)</f>
        <v>112.9</v>
      </c>
      <c r="AG83" s="443">
        <f>VLOOKUP(H83,'VA E VT - APOIO.LIMPEZA'!F:AX,14,0)</f>
        <v>287.82</v>
      </c>
      <c r="AH83" s="443">
        <f>VLOOKUP($H83,'VA E VT - APOIO.LIMPEZA'!$F:AY,20,0)</f>
        <v>51.828400000000002</v>
      </c>
      <c r="AI83" s="443">
        <f>IF($J83="EFETIVO",VLOOKUP($K83,PARAMETROS!$E:BA,14,0),0)</f>
        <v>91.08</v>
      </c>
      <c r="AJ83" s="443">
        <f>IF($J83="EFETIVO",VLOOKUP($K83,PARAMETROS!$E:BB,15,0),0)</f>
        <v>17.03</v>
      </c>
      <c r="AK83" s="443"/>
      <c r="AL83" s="443"/>
      <c r="AM83" s="443"/>
      <c r="AN83" s="443"/>
      <c r="AO83" s="448">
        <f>SUM(AF83:AN83)</f>
        <v>560.65840000000003</v>
      </c>
      <c r="AP83" s="443">
        <f>IF($J83="EFETIVO",VLOOKUP($K83,PARAMETROS!$E:BH,20,0),0)</f>
        <v>62.37</v>
      </c>
      <c r="AQ83" s="446"/>
      <c r="AR83" s="443">
        <f>IF($J83="EFETIVO",VLOOKUP($K83,PARAMETROS!$E:BJ,22,0),0)</f>
        <v>58.53</v>
      </c>
      <c r="AS83" s="446"/>
      <c r="AT83" s="448">
        <f>(AP83+AQ83+AR83+AS83)</f>
        <v>120.9</v>
      </c>
      <c r="AU83" s="448">
        <f>$AU$10*AC83</f>
        <v>841.62704000000008</v>
      </c>
      <c r="AV83" s="448">
        <f t="shared" ref="AV83:BB83" si="93">IF($J83="EFETIVO",$Y83*AV$10,0)</f>
        <v>4.1166540000000005</v>
      </c>
      <c r="AW83" s="448">
        <f t="shared" si="93"/>
        <v>11.435150000000002</v>
      </c>
      <c r="AX83" s="448">
        <f t="shared" si="93"/>
        <v>0.91481200000000007</v>
      </c>
      <c r="AY83" s="448">
        <f t="shared" si="93"/>
        <v>0.45740600000000003</v>
      </c>
      <c r="AZ83" s="448">
        <f t="shared" si="93"/>
        <v>8.0046050000000015</v>
      </c>
      <c r="BA83" s="448">
        <f t="shared" si="93"/>
        <v>2.9456946400000006</v>
      </c>
      <c r="BB83" s="448">
        <f t="shared" si="93"/>
        <v>3.8879510000000002</v>
      </c>
      <c r="BC83" s="448">
        <f>TRUNC(SUM(AW83:BB83),2)</f>
        <v>27.64</v>
      </c>
      <c r="BD83" s="448">
        <f>IF($J83="EFETIVO",$Y83*BD$10,0)</f>
        <v>31.789717</v>
      </c>
      <c r="BE83" s="448">
        <f>IF($J83="EFETIVO",$Y83*BE$10,0)</f>
        <v>19.211052000000002</v>
      </c>
      <c r="BF83" s="448">
        <f>IF($J83="EFETIVO",$Y83*BF$10,0)</f>
        <v>7.5471990000000009</v>
      </c>
      <c r="BG83" s="448">
        <f>IF($J83="EFETIVO",$Y83*BG$10,0)</f>
        <v>0</v>
      </c>
      <c r="BH83" s="448">
        <f>IF($J83="EFETIVO",$Y83*BH$10,0)</f>
        <v>21.545652224000001</v>
      </c>
      <c r="BI83" s="448">
        <f>TRUNC(SUM(BD83:BH83),2)</f>
        <v>80.09</v>
      </c>
      <c r="BJ83" s="448">
        <f>TRUNC((BI83+BC83+AV83+AU83),2)</f>
        <v>953.47</v>
      </c>
      <c r="BK83" s="448">
        <f>IF($N83="FÉRIAS",$AD83*$BK$10,IF($AB83&gt;=15,$AD83*$BK$10,0))</f>
        <v>190.50959900000001</v>
      </c>
      <c r="BL83" s="448">
        <f>IF($N83="FÉRIAS",$AD83*$BL$10,IF($AB83&gt;=15,$AD83*$BL$10,0))</f>
        <v>254.08903300000003</v>
      </c>
      <c r="BM83" s="448">
        <f>$BM$10*BK83</f>
        <v>70.107532431999999</v>
      </c>
      <c r="BN83" s="448">
        <f>$BN$10*BL83</f>
        <v>93.504764144000006</v>
      </c>
      <c r="BO83" s="448">
        <f>$BO$10*AE83</f>
        <v>98.342290000000006</v>
      </c>
      <c r="BP83" s="448"/>
      <c r="BQ83" s="448">
        <f>TRUNC(SUM(BK83:BP83),2)</f>
        <v>706.55</v>
      </c>
      <c r="BR83" s="448">
        <f>TRUNC((BJ83+BQ83),2)</f>
        <v>1660.02</v>
      </c>
      <c r="BS83" s="448">
        <f>IF($J83="EFETIVO",BS$10,0)</f>
        <v>288.66000000000003</v>
      </c>
      <c r="BT83" s="448">
        <f>IF($J83="EFETIVO",BT$10,0)</f>
        <v>346.26</v>
      </c>
      <c r="BU83" s="448">
        <f>((AC83+AO83+AT83+BJ83+BS83+BT83)*E83)</f>
        <v>431.09015664000003</v>
      </c>
      <c r="BV83" s="448">
        <f>BQ83*E83</f>
        <v>66.83963</v>
      </c>
      <c r="BW83" s="448">
        <f>SUM(BU83:BV83)</f>
        <v>497.92978664000003</v>
      </c>
      <c r="BX83" s="448">
        <f>BS83+BT83+BW83</f>
        <v>1132.84978664</v>
      </c>
      <c r="BY83" s="448">
        <f>(AC83+AO83+AT83+BJ83+BX83)</f>
        <v>5054.9081866400002</v>
      </c>
      <c r="BZ83" s="448">
        <f>BQ83</f>
        <v>706.55</v>
      </c>
      <c r="CA83" s="448">
        <f>BY83+BZ83</f>
        <v>5761.4581866400003</v>
      </c>
      <c r="CB83" s="449"/>
    </row>
    <row r="84" spans="1:80" s="480" customFormat="1" ht="15.75" customHeight="1">
      <c r="A84" s="462"/>
      <c r="B84" s="462"/>
      <c r="C84" s="462" t="s">
        <v>3893</v>
      </c>
      <c r="D84" s="463"/>
      <c r="E84" s="464"/>
      <c r="F84" s="465"/>
      <c r="G84" s="466"/>
      <c r="H84" s="467"/>
      <c r="I84" s="462"/>
      <c r="J84" s="468"/>
      <c r="K84" s="462"/>
      <c r="L84" s="469"/>
      <c r="M84" s="469"/>
      <c r="N84" s="468"/>
      <c r="O84" s="468"/>
      <c r="P84" s="468"/>
      <c r="Q84" s="470"/>
      <c r="R84" s="470"/>
      <c r="S84" s="470"/>
      <c r="T84" s="470"/>
      <c r="U84" s="470"/>
      <c r="V84" s="470"/>
      <c r="W84" s="470"/>
      <c r="X84" s="470"/>
      <c r="Y84" s="471"/>
      <c r="Z84" s="472"/>
      <c r="AA84" s="473"/>
      <c r="AB84" s="474"/>
      <c r="AC84" s="475"/>
      <c r="AD84" s="476"/>
      <c r="AE84" s="476"/>
      <c r="AF84" s="478">
        <f t="shared" ref="AF84:CA84" si="94">SUBTOTAL(9,AF83)</f>
        <v>112.9</v>
      </c>
      <c r="AG84" s="477">
        <f t="shared" si="94"/>
        <v>287.82</v>
      </c>
      <c r="AH84" s="477">
        <f t="shared" si="94"/>
        <v>51.828400000000002</v>
      </c>
      <c r="AI84" s="477">
        <f t="shared" si="94"/>
        <v>91.08</v>
      </c>
      <c r="AJ84" s="477">
        <f t="shared" si="94"/>
        <v>17.03</v>
      </c>
      <c r="AK84" s="477">
        <f t="shared" si="94"/>
        <v>0</v>
      </c>
      <c r="AL84" s="477">
        <f t="shared" si="94"/>
        <v>0</v>
      </c>
      <c r="AM84" s="477">
        <f t="shared" si="94"/>
        <v>0</v>
      </c>
      <c r="AN84" s="477">
        <f t="shared" si="94"/>
        <v>0</v>
      </c>
      <c r="AO84" s="477">
        <f t="shared" si="94"/>
        <v>560.65840000000003</v>
      </c>
      <c r="AP84" s="477">
        <f t="shared" si="94"/>
        <v>62.37</v>
      </c>
      <c r="AQ84" s="477">
        <f t="shared" si="94"/>
        <v>0</v>
      </c>
      <c r="AR84" s="477">
        <f t="shared" si="94"/>
        <v>58.53</v>
      </c>
      <c r="AS84" s="477">
        <f t="shared" si="94"/>
        <v>0</v>
      </c>
      <c r="AT84" s="477">
        <f t="shared" si="94"/>
        <v>120.9</v>
      </c>
      <c r="AU84" s="477">
        <f t="shared" si="94"/>
        <v>841.62704000000008</v>
      </c>
      <c r="AV84" s="477">
        <f t="shared" si="94"/>
        <v>4.1166540000000005</v>
      </c>
      <c r="AW84" s="477">
        <f t="shared" si="94"/>
        <v>11.435150000000002</v>
      </c>
      <c r="AX84" s="477">
        <f t="shared" si="94"/>
        <v>0.91481200000000007</v>
      </c>
      <c r="AY84" s="477">
        <f t="shared" si="94"/>
        <v>0.45740600000000003</v>
      </c>
      <c r="AZ84" s="477">
        <f t="shared" si="94"/>
        <v>8.0046050000000015</v>
      </c>
      <c r="BA84" s="477">
        <f t="shared" si="94"/>
        <v>2.9456946400000006</v>
      </c>
      <c r="BB84" s="477">
        <f t="shared" si="94"/>
        <v>3.8879510000000002</v>
      </c>
      <c r="BC84" s="477">
        <f t="shared" si="94"/>
        <v>27.64</v>
      </c>
      <c r="BD84" s="477">
        <f t="shared" si="94"/>
        <v>31.789717</v>
      </c>
      <c r="BE84" s="477">
        <f t="shared" si="94"/>
        <v>19.211052000000002</v>
      </c>
      <c r="BF84" s="477">
        <f t="shared" si="94"/>
        <v>7.5471990000000009</v>
      </c>
      <c r="BG84" s="477">
        <f t="shared" si="94"/>
        <v>0</v>
      </c>
      <c r="BH84" s="477">
        <f t="shared" si="94"/>
        <v>21.545652224000001</v>
      </c>
      <c r="BI84" s="477">
        <f t="shared" si="94"/>
        <v>80.09</v>
      </c>
      <c r="BJ84" s="477">
        <f t="shared" si="94"/>
        <v>953.47</v>
      </c>
      <c r="BK84" s="477">
        <f t="shared" si="94"/>
        <v>190.50959900000001</v>
      </c>
      <c r="BL84" s="477">
        <f t="shared" si="94"/>
        <v>254.08903300000003</v>
      </c>
      <c r="BM84" s="477">
        <f t="shared" si="94"/>
        <v>70.107532431999999</v>
      </c>
      <c r="BN84" s="477">
        <f t="shared" si="94"/>
        <v>93.504764144000006</v>
      </c>
      <c r="BO84" s="477">
        <f t="shared" si="94"/>
        <v>98.342290000000006</v>
      </c>
      <c r="BP84" s="477">
        <f t="shared" si="94"/>
        <v>0</v>
      </c>
      <c r="BQ84" s="477">
        <f t="shared" si="94"/>
        <v>706.55</v>
      </c>
      <c r="BR84" s="477">
        <f t="shared" si="94"/>
        <v>1660.02</v>
      </c>
      <c r="BS84" s="477">
        <f t="shared" si="94"/>
        <v>288.66000000000003</v>
      </c>
      <c r="BT84" s="477">
        <f t="shared" si="94"/>
        <v>346.26</v>
      </c>
      <c r="BU84" s="477">
        <f t="shared" si="94"/>
        <v>431.09015664000003</v>
      </c>
      <c r="BV84" s="477">
        <f t="shared" si="94"/>
        <v>66.83963</v>
      </c>
      <c r="BW84" s="477">
        <f t="shared" si="94"/>
        <v>497.92978664000003</v>
      </c>
      <c r="BX84" s="477">
        <f t="shared" si="94"/>
        <v>1132.84978664</v>
      </c>
      <c r="BY84" s="477">
        <f t="shared" si="94"/>
        <v>5054.9081866400002</v>
      </c>
      <c r="BZ84" s="477">
        <f t="shared" si="94"/>
        <v>706.55</v>
      </c>
      <c r="CA84" s="477">
        <f t="shared" si="94"/>
        <v>5761.4581866400003</v>
      </c>
      <c r="CB84" s="479"/>
    </row>
    <row r="85" spans="1:80" s="450" customFormat="1" ht="15.75" customHeight="1">
      <c r="A85" s="435">
        <v>1</v>
      </c>
      <c r="B85" s="435">
        <v>1</v>
      </c>
      <c r="C85" s="435" t="s">
        <v>3837</v>
      </c>
      <c r="D85" s="436">
        <f>VLOOKUP(C85,ISS!A:B,2,0)</f>
        <v>0.03</v>
      </c>
      <c r="E85" s="437">
        <f>IF(D85=2%,5.99%,IF(D85=2.5%,6.55%,IF(D85=3%,7.12%,IF(D85=3.5%,7.7%,IF(D85=4%,8.28%,IF(D85=5%,9.46%))))))</f>
        <v>7.1199999999999999E-2</v>
      </c>
      <c r="F85" s="438">
        <v>58</v>
      </c>
      <c r="G85" s="439">
        <v>12398</v>
      </c>
      <c r="H85" s="440" t="s">
        <v>3992</v>
      </c>
      <c r="I85" s="435" t="s">
        <v>3849</v>
      </c>
      <c r="J85" s="102" t="s">
        <v>3521</v>
      </c>
      <c r="K85" s="435" t="str">
        <f t="shared" si="38"/>
        <v>IpatingaVIGILANTE ARMADO - 220 H</v>
      </c>
      <c r="L85" s="441" t="s">
        <v>3875</v>
      </c>
      <c r="M85" s="441"/>
      <c r="N85" s="102"/>
      <c r="O85" s="102"/>
      <c r="P85" s="102"/>
      <c r="Q85" s="442">
        <f>VLOOKUP('BANCO DADOS-CUSTO TOTAL'!$K85,PARAMETROS!$E:AX,3,0)</f>
        <v>1602.86</v>
      </c>
      <c r="R85" s="442">
        <f>VLOOKUP('BANCO DADOS-CUSTO TOTAL'!$K85,PARAMETROS!$E:AY,4,0)</f>
        <v>0</v>
      </c>
      <c r="S85" s="442">
        <f>VLOOKUP('BANCO DADOS-CUSTO TOTAL'!$K85,PARAMETROS!$E:AZ,5,0)</f>
        <v>480.85799999999995</v>
      </c>
      <c r="T85" s="442">
        <f>VLOOKUP('BANCO DADOS-CUSTO TOTAL'!$K85,PARAMETROS!$E:BA,6,0)</f>
        <v>0</v>
      </c>
      <c r="U85" s="442">
        <f>VLOOKUP('BANCO DADOS-CUSTO TOTAL'!$K85,PARAMETROS!$E:BB,7,0)</f>
        <v>0</v>
      </c>
      <c r="V85" s="442">
        <f>VLOOKUP('BANCO DADOS-CUSTO TOTAL'!$K85,PARAMETROS!$E:BC,8,0)</f>
        <v>0</v>
      </c>
      <c r="W85" s="442">
        <f>VLOOKUP('BANCO DADOS-CUSTO TOTAL'!$K85,PARAMETROS!$E:BD,9,0)</f>
        <v>189.42890909090909</v>
      </c>
      <c r="X85" s="442">
        <f>VLOOKUP('BANCO DADOS-CUSTO TOTAL'!$K85,PARAMETROS!$E:BE,10,0)</f>
        <v>13.891453333333336</v>
      </c>
      <c r="Y85" s="443">
        <f>TRUNC(SUM(Q85:X85),2)</f>
        <v>2287.0300000000002</v>
      </c>
      <c r="Z85" s="456"/>
      <c r="AA85" s="444">
        <v>30</v>
      </c>
      <c r="AB85" s="445">
        <f>IF(J85="EFETIVO",IF(AND(L85="",M85=""),$M$5,IF(AND(L85&lt;&gt;"",M85&lt;&gt;"",MONTH(L85)=MONTH(M85),YEAR(L85)=YEAR(M85)),M85-L85+1,IF(AND(L85&lt;&gt;"",M85&lt;&gt;"",MONTH(L85)&lt;&gt;MONTH(M85)),DAY(M85),IF(AND(L85="",M85&lt;&gt;"",MONTH($H$5)=MONTH(M85),YEAR(M85)=YEAR($H$5)),M85-$K$5+1,IF(AND(L85&lt;&gt;"",M85="",MONTH($K$5)=MONTH(L85),YEAR($K$5)=YEAR(L85)),30-DAY(L85)+1,$M$5))))),0)</f>
        <v>30</v>
      </c>
      <c r="AC85" s="446">
        <f>(Y85/30)*(AA85-Z85)</f>
        <v>2287.0300000000002</v>
      </c>
      <c r="AD85" s="447">
        <f>Y85</f>
        <v>2287.0300000000002</v>
      </c>
      <c r="AE85" s="447">
        <f>IF(AND(J85="EFETIVO",N85="FÉRIAS"),AD85,IF(J85="EFETIVO",AC85,0))</f>
        <v>2287.0300000000002</v>
      </c>
      <c r="AF85" s="443">
        <f>IF(J85="EFETIVO",VLOOKUP(K85,PARAMETROS!$E:AX,11,0),0)</f>
        <v>112.9</v>
      </c>
      <c r="AG85" s="443">
        <f>VLOOKUP(H85,'VA E VT - APOIO.LIMPEZA'!F:AX,14,0)</f>
        <v>287.82</v>
      </c>
      <c r="AH85" s="443">
        <f>VLOOKUP($H85,'VA E VT - APOIO.LIMPEZA'!$F:AY,20,0)</f>
        <v>51.828400000000002</v>
      </c>
      <c r="AI85" s="443">
        <f>IF($J85="EFETIVO",VLOOKUP($K85,PARAMETROS!$E:BA,14,0),0)</f>
        <v>91.08</v>
      </c>
      <c r="AJ85" s="443">
        <f>IF($J85="EFETIVO",VLOOKUP($K85,PARAMETROS!$E:BB,15,0),0)</f>
        <v>17.03</v>
      </c>
      <c r="AK85" s="443"/>
      <c r="AL85" s="443"/>
      <c r="AM85" s="443"/>
      <c r="AN85" s="443"/>
      <c r="AO85" s="448">
        <f>SUM(AF85:AN85)</f>
        <v>560.65840000000003</v>
      </c>
      <c r="AP85" s="443">
        <f>IF($J85="EFETIVO",VLOOKUP($K85,PARAMETROS!$E:BH,20,0),0)</f>
        <v>62.37</v>
      </c>
      <c r="AQ85" s="446"/>
      <c r="AR85" s="443">
        <f>IF($J85="EFETIVO",VLOOKUP($K85,PARAMETROS!$E:BJ,22,0),0)</f>
        <v>58.53</v>
      </c>
      <c r="AS85" s="446"/>
      <c r="AT85" s="448">
        <f>(AP85+AQ85+AR85+AS85)</f>
        <v>120.9</v>
      </c>
      <c r="AU85" s="448">
        <f>$AU$10*AC85</f>
        <v>841.62704000000008</v>
      </c>
      <c r="AV85" s="448">
        <f t="shared" ref="AV85:BB85" si="95">IF($J85="EFETIVO",$Y85*AV$10,0)</f>
        <v>4.1166540000000005</v>
      </c>
      <c r="AW85" s="448">
        <f t="shared" si="95"/>
        <v>11.435150000000002</v>
      </c>
      <c r="AX85" s="448">
        <f t="shared" si="95"/>
        <v>0.91481200000000007</v>
      </c>
      <c r="AY85" s="448">
        <f t="shared" si="95"/>
        <v>0.45740600000000003</v>
      </c>
      <c r="AZ85" s="448">
        <f t="shared" si="95"/>
        <v>8.0046050000000015</v>
      </c>
      <c r="BA85" s="448">
        <f t="shared" si="95"/>
        <v>2.9456946400000006</v>
      </c>
      <c r="BB85" s="448">
        <f t="shared" si="95"/>
        <v>3.8879510000000002</v>
      </c>
      <c r="BC85" s="448">
        <f>TRUNC(SUM(AW85:BB85),2)</f>
        <v>27.64</v>
      </c>
      <c r="BD85" s="448">
        <f>IF($J85="EFETIVO",$Y85*BD$10,0)</f>
        <v>31.789717</v>
      </c>
      <c r="BE85" s="448">
        <f>IF($J85="EFETIVO",$Y85*BE$10,0)</f>
        <v>19.211052000000002</v>
      </c>
      <c r="BF85" s="448">
        <f>IF($J85="EFETIVO",$Y85*BF$10,0)</f>
        <v>7.5471990000000009</v>
      </c>
      <c r="BG85" s="448">
        <f>IF($J85="EFETIVO",$Y85*BG$10,0)</f>
        <v>0</v>
      </c>
      <c r="BH85" s="448">
        <f>IF($J85="EFETIVO",$Y85*BH$10,0)</f>
        <v>21.545652224000001</v>
      </c>
      <c r="BI85" s="448">
        <f>TRUNC(SUM(BD85:BH85),2)</f>
        <v>80.09</v>
      </c>
      <c r="BJ85" s="448">
        <f>TRUNC((BI85+BC85+AV85+AU85),2)</f>
        <v>953.47</v>
      </c>
      <c r="BK85" s="448">
        <f>IF($N85="FÉRIAS",$AD85*$BK$10,IF($AB85&gt;=15,$AD85*$BK$10,0))</f>
        <v>190.50959900000001</v>
      </c>
      <c r="BL85" s="448">
        <f>IF($N85="FÉRIAS",$AD85*$BL$10,IF($AB85&gt;=15,$AD85*$BL$10,0))</f>
        <v>254.08903300000003</v>
      </c>
      <c r="BM85" s="448">
        <f>$BM$10*BK85</f>
        <v>70.107532431999999</v>
      </c>
      <c r="BN85" s="448">
        <f>$BN$10*BL85</f>
        <v>93.504764144000006</v>
      </c>
      <c r="BO85" s="448">
        <f>$BO$10*AE85</f>
        <v>98.342290000000006</v>
      </c>
      <c r="BP85" s="448"/>
      <c r="BQ85" s="448">
        <f>TRUNC(SUM(BK85:BP85),2)</f>
        <v>706.55</v>
      </c>
      <c r="BR85" s="448">
        <f>TRUNC((BJ85+BQ85),2)</f>
        <v>1660.02</v>
      </c>
      <c r="BS85" s="448">
        <f>IF($J85="EFETIVO",BS$10,0)</f>
        <v>288.66000000000003</v>
      </c>
      <c r="BT85" s="448">
        <f>IF($J85="EFETIVO",BT$10,0)</f>
        <v>346.26</v>
      </c>
      <c r="BU85" s="448">
        <f>((AC85+AO85+AT85+BJ85+BS85+BT85)*E85)</f>
        <v>324.45686208000001</v>
      </c>
      <c r="BV85" s="448">
        <f>BQ85*E85</f>
        <v>50.306359999999998</v>
      </c>
      <c r="BW85" s="448">
        <f>SUM(BU85:BV85)</f>
        <v>374.76322207999999</v>
      </c>
      <c r="BX85" s="448">
        <f>BS85+BT85+BW85</f>
        <v>1009.6832220800001</v>
      </c>
      <c r="BY85" s="448">
        <f>(AC85+AO85+AT85+BJ85+BX85)</f>
        <v>4931.7416220799996</v>
      </c>
      <c r="BZ85" s="448">
        <f>BQ85</f>
        <v>706.55</v>
      </c>
      <c r="CA85" s="448">
        <f>BY85+BZ85</f>
        <v>5638.2916220799998</v>
      </c>
      <c r="CB85" s="449"/>
    </row>
    <row r="86" spans="1:80" s="480" customFormat="1" ht="15.75" customHeight="1">
      <c r="A86" s="462"/>
      <c r="B86" s="462"/>
      <c r="C86" s="462" t="s">
        <v>3894</v>
      </c>
      <c r="D86" s="463"/>
      <c r="E86" s="464"/>
      <c r="F86" s="465"/>
      <c r="G86" s="466"/>
      <c r="H86" s="467"/>
      <c r="I86" s="462"/>
      <c r="J86" s="468"/>
      <c r="K86" s="462"/>
      <c r="L86" s="469"/>
      <c r="M86" s="469"/>
      <c r="N86" s="468"/>
      <c r="O86" s="468"/>
      <c r="P86" s="468"/>
      <c r="Q86" s="470"/>
      <c r="R86" s="470"/>
      <c r="S86" s="470"/>
      <c r="T86" s="470"/>
      <c r="U86" s="470"/>
      <c r="V86" s="470"/>
      <c r="W86" s="470"/>
      <c r="X86" s="470"/>
      <c r="Y86" s="471"/>
      <c r="Z86" s="472"/>
      <c r="AA86" s="473"/>
      <c r="AB86" s="474"/>
      <c r="AC86" s="475"/>
      <c r="AD86" s="476"/>
      <c r="AE86" s="476"/>
      <c r="AF86" s="478">
        <f t="shared" ref="AF86:CA86" si="96">SUBTOTAL(9,AF85)</f>
        <v>112.9</v>
      </c>
      <c r="AG86" s="477">
        <f t="shared" si="96"/>
        <v>287.82</v>
      </c>
      <c r="AH86" s="477">
        <f t="shared" si="96"/>
        <v>51.828400000000002</v>
      </c>
      <c r="AI86" s="477">
        <f t="shared" si="96"/>
        <v>91.08</v>
      </c>
      <c r="AJ86" s="477">
        <f t="shared" si="96"/>
        <v>17.03</v>
      </c>
      <c r="AK86" s="477">
        <f t="shared" si="96"/>
        <v>0</v>
      </c>
      <c r="AL86" s="477">
        <f t="shared" si="96"/>
        <v>0</v>
      </c>
      <c r="AM86" s="477">
        <f t="shared" si="96"/>
        <v>0</v>
      </c>
      <c r="AN86" s="477">
        <f t="shared" si="96"/>
        <v>0</v>
      </c>
      <c r="AO86" s="477">
        <f t="shared" si="96"/>
        <v>560.65840000000003</v>
      </c>
      <c r="AP86" s="477">
        <f t="shared" si="96"/>
        <v>62.37</v>
      </c>
      <c r="AQ86" s="477">
        <f t="shared" si="96"/>
        <v>0</v>
      </c>
      <c r="AR86" s="477">
        <f t="shared" si="96"/>
        <v>58.53</v>
      </c>
      <c r="AS86" s="477">
        <f t="shared" si="96"/>
        <v>0</v>
      </c>
      <c r="AT86" s="477">
        <f t="shared" si="96"/>
        <v>120.9</v>
      </c>
      <c r="AU86" s="477">
        <f t="shared" si="96"/>
        <v>841.62704000000008</v>
      </c>
      <c r="AV86" s="477">
        <f t="shared" si="96"/>
        <v>4.1166540000000005</v>
      </c>
      <c r="AW86" s="477">
        <f t="shared" si="96"/>
        <v>11.435150000000002</v>
      </c>
      <c r="AX86" s="477">
        <f t="shared" si="96"/>
        <v>0.91481200000000007</v>
      </c>
      <c r="AY86" s="477">
        <f t="shared" si="96"/>
        <v>0.45740600000000003</v>
      </c>
      <c r="AZ86" s="477">
        <f t="shared" si="96"/>
        <v>8.0046050000000015</v>
      </c>
      <c r="BA86" s="477">
        <f t="shared" si="96"/>
        <v>2.9456946400000006</v>
      </c>
      <c r="BB86" s="477">
        <f t="shared" si="96"/>
        <v>3.8879510000000002</v>
      </c>
      <c r="BC86" s="477">
        <f t="shared" si="96"/>
        <v>27.64</v>
      </c>
      <c r="BD86" s="477">
        <f t="shared" si="96"/>
        <v>31.789717</v>
      </c>
      <c r="BE86" s="477">
        <f t="shared" si="96"/>
        <v>19.211052000000002</v>
      </c>
      <c r="BF86" s="477">
        <f t="shared" si="96"/>
        <v>7.5471990000000009</v>
      </c>
      <c r="BG86" s="477">
        <f t="shared" si="96"/>
        <v>0</v>
      </c>
      <c r="BH86" s="477">
        <f t="shared" si="96"/>
        <v>21.545652224000001</v>
      </c>
      <c r="BI86" s="477">
        <f t="shared" si="96"/>
        <v>80.09</v>
      </c>
      <c r="BJ86" s="477">
        <f t="shared" si="96"/>
        <v>953.47</v>
      </c>
      <c r="BK86" s="477">
        <f t="shared" si="96"/>
        <v>190.50959900000001</v>
      </c>
      <c r="BL86" s="477">
        <f t="shared" si="96"/>
        <v>254.08903300000003</v>
      </c>
      <c r="BM86" s="477">
        <f t="shared" si="96"/>
        <v>70.107532431999999</v>
      </c>
      <c r="BN86" s="477">
        <f t="shared" si="96"/>
        <v>93.504764144000006</v>
      </c>
      <c r="BO86" s="477">
        <f t="shared" si="96"/>
        <v>98.342290000000006</v>
      </c>
      <c r="BP86" s="477">
        <f t="shared" si="96"/>
        <v>0</v>
      </c>
      <c r="BQ86" s="477">
        <f t="shared" si="96"/>
        <v>706.55</v>
      </c>
      <c r="BR86" s="477">
        <f t="shared" si="96"/>
        <v>1660.02</v>
      </c>
      <c r="BS86" s="477">
        <f t="shared" si="96"/>
        <v>288.66000000000003</v>
      </c>
      <c r="BT86" s="477">
        <f t="shared" si="96"/>
        <v>346.26</v>
      </c>
      <c r="BU86" s="477">
        <f t="shared" si="96"/>
        <v>324.45686208000001</v>
      </c>
      <c r="BV86" s="477">
        <f t="shared" si="96"/>
        <v>50.306359999999998</v>
      </c>
      <c r="BW86" s="477">
        <f t="shared" si="96"/>
        <v>374.76322207999999</v>
      </c>
      <c r="BX86" s="477">
        <f t="shared" si="96"/>
        <v>1009.6832220800001</v>
      </c>
      <c r="BY86" s="477">
        <f t="shared" si="96"/>
        <v>4931.7416220799996</v>
      </c>
      <c r="BZ86" s="477">
        <f t="shared" si="96"/>
        <v>706.55</v>
      </c>
      <c r="CA86" s="477">
        <f t="shared" si="96"/>
        <v>5638.2916220799998</v>
      </c>
      <c r="CB86" s="479"/>
    </row>
    <row r="87" spans="1:80" s="450" customFormat="1" ht="15.75" customHeight="1">
      <c r="A87" s="435">
        <v>1</v>
      </c>
      <c r="B87" s="435">
        <v>1</v>
      </c>
      <c r="C87" s="435" t="s">
        <v>3259</v>
      </c>
      <c r="D87" s="436">
        <f>VLOOKUP(C87,ISS!A:B,2,0)</f>
        <v>0.04</v>
      </c>
      <c r="E87" s="437">
        <f>IF(D87=2%,5.99%,IF(D87=2.5%,6.55%,IF(D87=3%,7.12%,IF(D87=3.5%,7.7%,IF(D87=4%,8.28%,IF(D87=5%,9.46%))))))</f>
        <v>8.2799999999999999E-2</v>
      </c>
      <c r="F87" s="438">
        <v>59</v>
      </c>
      <c r="G87" s="439">
        <v>12399</v>
      </c>
      <c r="H87" s="440" t="s">
        <v>3993</v>
      </c>
      <c r="I87" s="435" t="s">
        <v>3849</v>
      </c>
      <c r="J87" s="102" t="s">
        <v>3521</v>
      </c>
      <c r="K87" s="435" t="str">
        <f t="shared" si="38"/>
        <v>ItuiutabaVIGILANTE ARMADO - 220 H</v>
      </c>
      <c r="L87" s="441" t="s">
        <v>3875</v>
      </c>
      <c r="M87" s="441"/>
      <c r="N87" s="102"/>
      <c r="O87" s="102"/>
      <c r="P87" s="102"/>
      <c r="Q87" s="442">
        <f>VLOOKUP('BANCO DADOS-CUSTO TOTAL'!$K87,PARAMETROS!$E:AX,3,0)</f>
        <v>1602.86</v>
      </c>
      <c r="R87" s="442">
        <f>VLOOKUP('BANCO DADOS-CUSTO TOTAL'!$K87,PARAMETROS!$E:AY,4,0)</f>
        <v>0</v>
      </c>
      <c r="S87" s="442">
        <f>VLOOKUP('BANCO DADOS-CUSTO TOTAL'!$K87,PARAMETROS!$E:AZ,5,0)</f>
        <v>480.85799999999995</v>
      </c>
      <c r="T87" s="442">
        <f>VLOOKUP('BANCO DADOS-CUSTO TOTAL'!$K87,PARAMETROS!$E:BA,6,0)</f>
        <v>0</v>
      </c>
      <c r="U87" s="442">
        <f>VLOOKUP('BANCO DADOS-CUSTO TOTAL'!$K87,PARAMETROS!$E:BB,7,0)</f>
        <v>0</v>
      </c>
      <c r="V87" s="442">
        <f>VLOOKUP('BANCO DADOS-CUSTO TOTAL'!$K87,PARAMETROS!$E:BC,8,0)</f>
        <v>0</v>
      </c>
      <c r="W87" s="442">
        <f>VLOOKUP('BANCO DADOS-CUSTO TOTAL'!$K87,PARAMETROS!$E:BD,9,0)</f>
        <v>189.42890909090909</v>
      </c>
      <c r="X87" s="442">
        <f>VLOOKUP('BANCO DADOS-CUSTO TOTAL'!$K87,PARAMETROS!$E:BE,10,0)</f>
        <v>13.891453333333336</v>
      </c>
      <c r="Y87" s="443">
        <f>TRUNC(SUM(Q87:X87),2)</f>
        <v>2287.0300000000002</v>
      </c>
      <c r="Z87" s="456"/>
      <c r="AA87" s="444">
        <v>30</v>
      </c>
      <c r="AB87" s="445">
        <f>IF(J87="EFETIVO",IF(AND(L87="",M87=""),$M$5,IF(AND(L87&lt;&gt;"",M87&lt;&gt;"",MONTH(L87)=MONTH(M87),YEAR(L87)=YEAR(M87)),M87-L87+1,IF(AND(L87&lt;&gt;"",M87&lt;&gt;"",MONTH(L87)&lt;&gt;MONTH(M87)),DAY(M87),IF(AND(L87="",M87&lt;&gt;"",MONTH($H$5)=MONTH(M87),YEAR(M87)=YEAR($H$5)),M87-$K$5+1,IF(AND(L87&lt;&gt;"",M87="",MONTH($K$5)=MONTH(L87),YEAR($K$5)=YEAR(L87)),30-DAY(L87)+1,$M$5))))),0)</f>
        <v>30</v>
      </c>
      <c r="AC87" s="446">
        <f>(Y87/30)*(AA87-Z87)</f>
        <v>2287.0300000000002</v>
      </c>
      <c r="AD87" s="447">
        <f>Y87</f>
        <v>2287.0300000000002</v>
      </c>
      <c r="AE87" s="447">
        <f>IF(AND(J87="EFETIVO",N87="FÉRIAS"),AD87,IF(J87="EFETIVO",AC87,0))</f>
        <v>2287.0300000000002</v>
      </c>
      <c r="AF87" s="443">
        <f>IF(J87="EFETIVO",VLOOKUP(K87,PARAMETROS!$E:AX,11,0),0)</f>
        <v>112.9</v>
      </c>
      <c r="AG87" s="443">
        <f>VLOOKUP(H87,'VA E VT - APOIO.LIMPEZA'!F:AX,14,0)</f>
        <v>287.82</v>
      </c>
      <c r="AH87" s="443">
        <f>VLOOKUP($H87,'VA E VT - APOIO.LIMPEZA'!$F:AY,20,0)</f>
        <v>51.828400000000002</v>
      </c>
      <c r="AI87" s="443">
        <f>IF($J87="EFETIVO",VLOOKUP($K87,PARAMETROS!$E:BA,14,0),0)</f>
        <v>91.08</v>
      </c>
      <c r="AJ87" s="443">
        <f>IF($J87="EFETIVO",VLOOKUP($K87,PARAMETROS!$E:BB,15,0),0)</f>
        <v>17.03</v>
      </c>
      <c r="AK87" s="443"/>
      <c r="AL87" s="443"/>
      <c r="AM87" s="443"/>
      <c r="AN87" s="443"/>
      <c r="AO87" s="448">
        <f>SUM(AF87:AN87)</f>
        <v>560.65840000000003</v>
      </c>
      <c r="AP87" s="443">
        <f>IF($J87="EFETIVO",VLOOKUP($K87,PARAMETROS!$E:BH,20,0),0)</f>
        <v>62.37</v>
      </c>
      <c r="AQ87" s="446"/>
      <c r="AR87" s="443">
        <f>IF($J87="EFETIVO",VLOOKUP($K87,PARAMETROS!$E:BJ,22,0),0)</f>
        <v>58.53</v>
      </c>
      <c r="AS87" s="446"/>
      <c r="AT87" s="448">
        <f>(AP87+AQ87+AR87+AS87)</f>
        <v>120.9</v>
      </c>
      <c r="AU87" s="448">
        <f>$AU$10*AC87</f>
        <v>841.62704000000008</v>
      </c>
      <c r="AV87" s="448">
        <f t="shared" ref="AV87:BB87" si="97">IF($J87="EFETIVO",$Y87*AV$10,0)</f>
        <v>4.1166540000000005</v>
      </c>
      <c r="AW87" s="448">
        <f t="shared" si="97"/>
        <v>11.435150000000002</v>
      </c>
      <c r="AX87" s="448">
        <f t="shared" si="97"/>
        <v>0.91481200000000007</v>
      </c>
      <c r="AY87" s="448">
        <f t="shared" si="97"/>
        <v>0.45740600000000003</v>
      </c>
      <c r="AZ87" s="448">
        <f t="shared" si="97"/>
        <v>8.0046050000000015</v>
      </c>
      <c r="BA87" s="448">
        <f t="shared" si="97"/>
        <v>2.9456946400000006</v>
      </c>
      <c r="BB87" s="448">
        <f t="shared" si="97"/>
        <v>3.8879510000000002</v>
      </c>
      <c r="BC87" s="448">
        <f>TRUNC(SUM(AW87:BB87),2)</f>
        <v>27.64</v>
      </c>
      <c r="BD87" s="448">
        <f>IF($J87="EFETIVO",$Y87*BD$10,0)</f>
        <v>31.789717</v>
      </c>
      <c r="BE87" s="448">
        <f>IF($J87="EFETIVO",$Y87*BE$10,0)</f>
        <v>19.211052000000002</v>
      </c>
      <c r="BF87" s="448">
        <f>IF($J87="EFETIVO",$Y87*BF$10,0)</f>
        <v>7.5471990000000009</v>
      </c>
      <c r="BG87" s="448">
        <f>IF($J87="EFETIVO",$Y87*BG$10,0)</f>
        <v>0</v>
      </c>
      <c r="BH87" s="448">
        <f>IF($J87="EFETIVO",$Y87*BH$10,0)</f>
        <v>21.545652224000001</v>
      </c>
      <c r="BI87" s="448">
        <f>TRUNC(SUM(BD87:BH87),2)</f>
        <v>80.09</v>
      </c>
      <c r="BJ87" s="448">
        <f>TRUNC((BI87+BC87+AV87+AU87),2)</f>
        <v>953.47</v>
      </c>
      <c r="BK87" s="448">
        <f>IF($N87="FÉRIAS",$AD87*$BK$10,IF($AB87&gt;=15,$AD87*$BK$10,0))</f>
        <v>190.50959900000001</v>
      </c>
      <c r="BL87" s="448">
        <f>IF($N87="FÉRIAS",$AD87*$BL$10,IF($AB87&gt;=15,$AD87*$BL$10,0))</f>
        <v>254.08903300000003</v>
      </c>
      <c r="BM87" s="448">
        <f>$BM$10*BK87</f>
        <v>70.107532431999999</v>
      </c>
      <c r="BN87" s="448">
        <f>$BN$10*BL87</f>
        <v>93.504764144000006</v>
      </c>
      <c r="BO87" s="448">
        <f>$BO$10*AE87</f>
        <v>98.342290000000006</v>
      </c>
      <c r="BP87" s="448"/>
      <c r="BQ87" s="448">
        <f>TRUNC(SUM(BK87:BP87),2)</f>
        <v>706.55</v>
      </c>
      <c r="BR87" s="448">
        <f>TRUNC((BJ87+BQ87),2)</f>
        <v>1660.02</v>
      </c>
      <c r="BS87" s="448">
        <f>IF($J87="EFETIVO",BS$10,0)</f>
        <v>288.66000000000003</v>
      </c>
      <c r="BT87" s="448">
        <f>IF($J87="EFETIVO",BT$10,0)</f>
        <v>346.26</v>
      </c>
      <c r="BU87" s="448">
        <f>((AC87+AO87+AT87+BJ87+BS87+BT87)*E87)</f>
        <v>377.31781151999996</v>
      </c>
      <c r="BV87" s="448">
        <f>BQ87*E87</f>
        <v>58.502339999999997</v>
      </c>
      <c r="BW87" s="448">
        <f>SUM(BU87:BV87)</f>
        <v>435.82015151999997</v>
      </c>
      <c r="BX87" s="448">
        <f>BS87+BT87+BW87</f>
        <v>1070.7401515199999</v>
      </c>
      <c r="BY87" s="448">
        <f>(AC87+AO87+AT87+BJ87+BX87)</f>
        <v>4992.7985515199998</v>
      </c>
      <c r="BZ87" s="448">
        <f>BQ87</f>
        <v>706.55</v>
      </c>
      <c r="CA87" s="448">
        <f>BY87+BZ87</f>
        <v>5699.34855152</v>
      </c>
      <c r="CB87" s="449"/>
    </row>
    <row r="88" spans="1:80" s="480" customFormat="1" ht="15.75" customHeight="1">
      <c r="A88" s="462"/>
      <c r="B88" s="462"/>
      <c r="C88" s="462" t="s">
        <v>3895</v>
      </c>
      <c r="D88" s="463"/>
      <c r="E88" s="464"/>
      <c r="F88" s="465"/>
      <c r="G88" s="466"/>
      <c r="H88" s="467"/>
      <c r="I88" s="462"/>
      <c r="J88" s="468"/>
      <c r="K88" s="462"/>
      <c r="L88" s="469"/>
      <c r="M88" s="469"/>
      <c r="N88" s="468"/>
      <c r="O88" s="468"/>
      <c r="P88" s="468"/>
      <c r="Q88" s="470"/>
      <c r="R88" s="470"/>
      <c r="S88" s="470"/>
      <c r="T88" s="470"/>
      <c r="U88" s="470"/>
      <c r="V88" s="470"/>
      <c r="W88" s="470"/>
      <c r="X88" s="470"/>
      <c r="Y88" s="471"/>
      <c r="Z88" s="472"/>
      <c r="AA88" s="473"/>
      <c r="AB88" s="474"/>
      <c r="AC88" s="475"/>
      <c r="AD88" s="476"/>
      <c r="AE88" s="476"/>
      <c r="AF88" s="478">
        <f t="shared" ref="AF88:CA88" si="98">SUBTOTAL(9,AF87)</f>
        <v>112.9</v>
      </c>
      <c r="AG88" s="477">
        <f t="shared" si="98"/>
        <v>287.82</v>
      </c>
      <c r="AH88" s="477">
        <f t="shared" si="98"/>
        <v>51.828400000000002</v>
      </c>
      <c r="AI88" s="477">
        <f t="shared" si="98"/>
        <v>91.08</v>
      </c>
      <c r="AJ88" s="477">
        <f t="shared" si="98"/>
        <v>17.03</v>
      </c>
      <c r="AK88" s="477">
        <f t="shared" si="98"/>
        <v>0</v>
      </c>
      <c r="AL88" s="477">
        <f t="shared" si="98"/>
        <v>0</v>
      </c>
      <c r="AM88" s="477">
        <f t="shared" si="98"/>
        <v>0</v>
      </c>
      <c r="AN88" s="477">
        <f t="shared" si="98"/>
        <v>0</v>
      </c>
      <c r="AO88" s="477">
        <f t="shared" si="98"/>
        <v>560.65840000000003</v>
      </c>
      <c r="AP88" s="477">
        <f t="shared" si="98"/>
        <v>62.37</v>
      </c>
      <c r="AQ88" s="477">
        <f t="shared" si="98"/>
        <v>0</v>
      </c>
      <c r="AR88" s="477">
        <f t="shared" si="98"/>
        <v>58.53</v>
      </c>
      <c r="AS88" s="477">
        <f t="shared" si="98"/>
        <v>0</v>
      </c>
      <c r="AT88" s="477">
        <f t="shared" si="98"/>
        <v>120.9</v>
      </c>
      <c r="AU88" s="477">
        <f t="shared" si="98"/>
        <v>841.62704000000008</v>
      </c>
      <c r="AV88" s="477">
        <f t="shared" si="98"/>
        <v>4.1166540000000005</v>
      </c>
      <c r="AW88" s="477">
        <f t="shared" si="98"/>
        <v>11.435150000000002</v>
      </c>
      <c r="AX88" s="477">
        <f t="shared" si="98"/>
        <v>0.91481200000000007</v>
      </c>
      <c r="AY88" s="477">
        <f t="shared" si="98"/>
        <v>0.45740600000000003</v>
      </c>
      <c r="AZ88" s="477">
        <f t="shared" si="98"/>
        <v>8.0046050000000015</v>
      </c>
      <c r="BA88" s="477">
        <f t="shared" si="98"/>
        <v>2.9456946400000006</v>
      </c>
      <c r="BB88" s="477">
        <f t="shared" si="98"/>
        <v>3.8879510000000002</v>
      </c>
      <c r="BC88" s="477">
        <f t="shared" si="98"/>
        <v>27.64</v>
      </c>
      <c r="BD88" s="477">
        <f t="shared" si="98"/>
        <v>31.789717</v>
      </c>
      <c r="BE88" s="477">
        <f t="shared" si="98"/>
        <v>19.211052000000002</v>
      </c>
      <c r="BF88" s="477">
        <f t="shared" si="98"/>
        <v>7.5471990000000009</v>
      </c>
      <c r="BG88" s="477">
        <f t="shared" si="98"/>
        <v>0</v>
      </c>
      <c r="BH88" s="477">
        <f t="shared" si="98"/>
        <v>21.545652224000001</v>
      </c>
      <c r="BI88" s="477">
        <f t="shared" si="98"/>
        <v>80.09</v>
      </c>
      <c r="BJ88" s="477">
        <f t="shared" si="98"/>
        <v>953.47</v>
      </c>
      <c r="BK88" s="477">
        <f t="shared" si="98"/>
        <v>190.50959900000001</v>
      </c>
      <c r="BL88" s="477">
        <f t="shared" si="98"/>
        <v>254.08903300000003</v>
      </c>
      <c r="BM88" s="477">
        <f t="shared" si="98"/>
        <v>70.107532431999999</v>
      </c>
      <c r="BN88" s="477">
        <f t="shared" si="98"/>
        <v>93.504764144000006</v>
      </c>
      <c r="BO88" s="477">
        <f t="shared" si="98"/>
        <v>98.342290000000006</v>
      </c>
      <c r="BP88" s="477">
        <f t="shared" si="98"/>
        <v>0</v>
      </c>
      <c r="BQ88" s="477">
        <f t="shared" si="98"/>
        <v>706.55</v>
      </c>
      <c r="BR88" s="477">
        <f t="shared" si="98"/>
        <v>1660.02</v>
      </c>
      <c r="BS88" s="477">
        <f t="shared" si="98"/>
        <v>288.66000000000003</v>
      </c>
      <c r="BT88" s="477">
        <f t="shared" si="98"/>
        <v>346.26</v>
      </c>
      <c r="BU88" s="477">
        <f t="shared" si="98"/>
        <v>377.31781151999996</v>
      </c>
      <c r="BV88" s="477">
        <f t="shared" si="98"/>
        <v>58.502339999999997</v>
      </c>
      <c r="BW88" s="477">
        <f t="shared" si="98"/>
        <v>435.82015151999997</v>
      </c>
      <c r="BX88" s="477">
        <f t="shared" si="98"/>
        <v>1070.7401515199999</v>
      </c>
      <c r="BY88" s="477">
        <f t="shared" si="98"/>
        <v>4992.7985515199998</v>
      </c>
      <c r="BZ88" s="477">
        <f t="shared" si="98"/>
        <v>706.55</v>
      </c>
      <c r="CA88" s="477">
        <f t="shared" si="98"/>
        <v>5699.34855152</v>
      </c>
      <c r="CB88" s="479"/>
    </row>
    <row r="89" spans="1:80" s="450" customFormat="1" ht="15.75" customHeight="1">
      <c r="A89" s="435">
        <v>1</v>
      </c>
      <c r="B89" s="435">
        <v>1</v>
      </c>
      <c r="C89" s="435" t="s">
        <v>3263</v>
      </c>
      <c r="D89" s="436">
        <f>VLOOKUP(C89,ISS!A:B,2,0)</f>
        <v>0.05</v>
      </c>
      <c r="E89" s="437">
        <f>IF(D89=2%,5.99%,IF(D89=2.5%,6.55%,IF(D89=3%,7.12%,IF(D89=3.5%,7.7%,IF(D89=4%,8.28%,IF(D89=5%,9.46%))))))</f>
        <v>9.4600000000000004E-2</v>
      </c>
      <c r="F89" s="438">
        <v>60</v>
      </c>
      <c r="G89" s="439">
        <v>12400</v>
      </c>
      <c r="H89" s="440" t="s">
        <v>3994</v>
      </c>
      <c r="I89" s="435" t="s">
        <v>3849</v>
      </c>
      <c r="J89" s="102" t="s">
        <v>3521</v>
      </c>
      <c r="K89" s="435" t="str">
        <f t="shared" si="38"/>
        <v>LavrasVIGILANTE ARMADO - 220 H</v>
      </c>
      <c r="L89" s="441" t="s">
        <v>3875</v>
      </c>
      <c r="M89" s="441"/>
      <c r="N89" s="102"/>
      <c r="O89" s="102"/>
      <c r="P89" s="102"/>
      <c r="Q89" s="442">
        <f>VLOOKUP('BANCO DADOS-CUSTO TOTAL'!$K89,PARAMETROS!$E:AX,3,0)</f>
        <v>1602.86</v>
      </c>
      <c r="R89" s="442">
        <f>VLOOKUP('BANCO DADOS-CUSTO TOTAL'!$K89,PARAMETROS!$E:AY,4,0)</f>
        <v>0</v>
      </c>
      <c r="S89" s="442">
        <f>VLOOKUP('BANCO DADOS-CUSTO TOTAL'!$K89,PARAMETROS!$E:AZ,5,0)</f>
        <v>480.85799999999995</v>
      </c>
      <c r="T89" s="442">
        <f>VLOOKUP('BANCO DADOS-CUSTO TOTAL'!$K89,PARAMETROS!$E:BA,6,0)</f>
        <v>0</v>
      </c>
      <c r="U89" s="442">
        <f>VLOOKUP('BANCO DADOS-CUSTO TOTAL'!$K89,PARAMETROS!$E:BB,7,0)</f>
        <v>0</v>
      </c>
      <c r="V89" s="442">
        <f>VLOOKUP('BANCO DADOS-CUSTO TOTAL'!$K89,PARAMETROS!$E:BC,8,0)</f>
        <v>0</v>
      </c>
      <c r="W89" s="442">
        <f>VLOOKUP('BANCO DADOS-CUSTO TOTAL'!$K89,PARAMETROS!$E:BD,9,0)</f>
        <v>189.42890909090909</v>
      </c>
      <c r="X89" s="442">
        <f>VLOOKUP('BANCO DADOS-CUSTO TOTAL'!$K89,PARAMETROS!$E:BE,10,0)</f>
        <v>13.891453333333336</v>
      </c>
      <c r="Y89" s="443">
        <f>TRUNC(SUM(Q89:X89),2)</f>
        <v>2287.0300000000002</v>
      </c>
      <c r="Z89" s="456"/>
      <c r="AA89" s="444">
        <v>30</v>
      </c>
      <c r="AB89" s="445">
        <f>IF(J89="EFETIVO",IF(AND(L89="",M89=""),$M$5,IF(AND(L89&lt;&gt;"",M89&lt;&gt;"",MONTH(L89)=MONTH(M89),YEAR(L89)=YEAR(M89)),M89-L89+1,IF(AND(L89&lt;&gt;"",M89&lt;&gt;"",MONTH(L89)&lt;&gt;MONTH(M89)),DAY(M89),IF(AND(L89="",M89&lt;&gt;"",MONTH($H$5)=MONTH(M89),YEAR(M89)=YEAR($H$5)),M89-$K$5+1,IF(AND(L89&lt;&gt;"",M89="",MONTH($K$5)=MONTH(L89),YEAR($K$5)=YEAR(L89)),30-DAY(L89)+1,$M$5))))),0)</f>
        <v>30</v>
      </c>
      <c r="AC89" s="446">
        <f>(Y89/30)*(AA89-Z89)</f>
        <v>2287.0300000000002</v>
      </c>
      <c r="AD89" s="447">
        <f>Y89</f>
        <v>2287.0300000000002</v>
      </c>
      <c r="AE89" s="447">
        <f>IF(AND(J89="EFETIVO",N89="FÉRIAS"),AD89,IF(J89="EFETIVO",AC89,0))</f>
        <v>2287.0300000000002</v>
      </c>
      <c r="AF89" s="443">
        <f>IF(J89="EFETIVO",VLOOKUP(K89,PARAMETROS!$E:AX,11,0),0)</f>
        <v>112.9</v>
      </c>
      <c r="AG89" s="443">
        <f>VLOOKUP(H89,'VA E VT - APOIO.LIMPEZA'!F:AX,14,0)</f>
        <v>287.82</v>
      </c>
      <c r="AH89" s="443">
        <f>VLOOKUP($H89,'VA E VT - APOIO.LIMPEZA'!$F:AY,20,0)</f>
        <v>51.828400000000002</v>
      </c>
      <c r="AI89" s="443">
        <f>IF($J89="EFETIVO",VLOOKUP($K89,PARAMETROS!$E:BA,14,0),0)</f>
        <v>91.08</v>
      </c>
      <c r="AJ89" s="443">
        <f>IF($J89="EFETIVO",VLOOKUP($K89,PARAMETROS!$E:BB,15,0),0)</f>
        <v>17.03</v>
      </c>
      <c r="AK89" s="443"/>
      <c r="AL89" s="443"/>
      <c r="AM89" s="443"/>
      <c r="AN89" s="443"/>
      <c r="AO89" s="448">
        <f>SUM(AF89:AN89)</f>
        <v>560.65840000000003</v>
      </c>
      <c r="AP89" s="443">
        <f>IF($J89="EFETIVO",VLOOKUP($K89,PARAMETROS!$E:BH,20,0),0)</f>
        <v>62.37</v>
      </c>
      <c r="AQ89" s="446"/>
      <c r="AR89" s="443">
        <f>IF($J89="EFETIVO",VLOOKUP($K89,PARAMETROS!$E:BJ,22,0),0)</f>
        <v>58.53</v>
      </c>
      <c r="AS89" s="446"/>
      <c r="AT89" s="448">
        <f>(AP89+AQ89+AR89+AS89)</f>
        <v>120.9</v>
      </c>
      <c r="AU89" s="448">
        <f>$AU$10*AC89</f>
        <v>841.62704000000008</v>
      </c>
      <c r="AV89" s="448">
        <f t="shared" ref="AV89:BB89" si="99">IF($J89="EFETIVO",$Y89*AV$10,0)</f>
        <v>4.1166540000000005</v>
      </c>
      <c r="AW89" s="448">
        <f t="shared" si="99"/>
        <v>11.435150000000002</v>
      </c>
      <c r="AX89" s="448">
        <f t="shared" si="99"/>
        <v>0.91481200000000007</v>
      </c>
      <c r="AY89" s="448">
        <f t="shared" si="99"/>
        <v>0.45740600000000003</v>
      </c>
      <c r="AZ89" s="448">
        <f t="shared" si="99"/>
        <v>8.0046050000000015</v>
      </c>
      <c r="BA89" s="448">
        <f t="shared" si="99"/>
        <v>2.9456946400000006</v>
      </c>
      <c r="BB89" s="448">
        <f t="shared" si="99"/>
        <v>3.8879510000000002</v>
      </c>
      <c r="BC89" s="448">
        <f>TRUNC(SUM(AW89:BB89),2)</f>
        <v>27.64</v>
      </c>
      <c r="BD89" s="448">
        <f>IF($J89="EFETIVO",$Y89*BD$10,0)</f>
        <v>31.789717</v>
      </c>
      <c r="BE89" s="448">
        <f>IF($J89="EFETIVO",$Y89*BE$10,0)</f>
        <v>19.211052000000002</v>
      </c>
      <c r="BF89" s="448">
        <f>IF($J89="EFETIVO",$Y89*BF$10,0)</f>
        <v>7.5471990000000009</v>
      </c>
      <c r="BG89" s="448">
        <f>IF($J89="EFETIVO",$Y89*BG$10,0)</f>
        <v>0</v>
      </c>
      <c r="BH89" s="448">
        <f>IF($J89="EFETIVO",$Y89*BH$10,0)</f>
        <v>21.545652224000001</v>
      </c>
      <c r="BI89" s="448">
        <f>TRUNC(SUM(BD89:BH89),2)</f>
        <v>80.09</v>
      </c>
      <c r="BJ89" s="448">
        <f>TRUNC((BI89+BC89+AV89+AU89),2)</f>
        <v>953.47</v>
      </c>
      <c r="BK89" s="448">
        <f>IF($N89="FÉRIAS",$AD89*$BK$10,IF($AB89&gt;=15,$AD89*$BK$10,0))</f>
        <v>190.50959900000001</v>
      </c>
      <c r="BL89" s="448">
        <f>IF($N89="FÉRIAS",$AD89*$BL$10,IF($AB89&gt;=15,$AD89*$BL$10,0))</f>
        <v>254.08903300000003</v>
      </c>
      <c r="BM89" s="448">
        <f>$BM$10*BK89</f>
        <v>70.107532431999999</v>
      </c>
      <c r="BN89" s="448">
        <f>$BN$10*BL89</f>
        <v>93.504764144000006</v>
      </c>
      <c r="BO89" s="448">
        <f>$BO$10*AE89</f>
        <v>98.342290000000006</v>
      </c>
      <c r="BP89" s="448"/>
      <c r="BQ89" s="448">
        <f>TRUNC(SUM(BK89:BP89),2)</f>
        <v>706.55</v>
      </c>
      <c r="BR89" s="448">
        <f>TRUNC((BJ89+BQ89),2)</f>
        <v>1660.02</v>
      </c>
      <c r="BS89" s="448">
        <f>IF($J89="EFETIVO",BS$10,0)</f>
        <v>288.66000000000003</v>
      </c>
      <c r="BT89" s="448">
        <f>IF($J89="EFETIVO",BT$10,0)</f>
        <v>346.26</v>
      </c>
      <c r="BU89" s="448">
        <f>((AC89+AO89+AT89+BJ89+BS89+BT89)*E89)</f>
        <v>431.09015664000003</v>
      </c>
      <c r="BV89" s="448">
        <f>BQ89*E89</f>
        <v>66.83963</v>
      </c>
      <c r="BW89" s="448">
        <f>SUM(BU89:BV89)</f>
        <v>497.92978664000003</v>
      </c>
      <c r="BX89" s="448">
        <f>BS89+BT89+BW89</f>
        <v>1132.84978664</v>
      </c>
      <c r="BY89" s="448">
        <f>(AC89+AO89+AT89+BJ89+BX89)</f>
        <v>5054.9081866400002</v>
      </c>
      <c r="BZ89" s="448">
        <f>BQ89</f>
        <v>706.55</v>
      </c>
      <c r="CA89" s="448">
        <f>BY89+BZ89</f>
        <v>5761.4581866400003</v>
      </c>
      <c r="CB89" s="449"/>
    </row>
    <row r="90" spans="1:80" s="480" customFormat="1" ht="15.75" customHeight="1">
      <c r="A90" s="462"/>
      <c r="B90" s="462"/>
      <c r="C90" s="462" t="s">
        <v>3896</v>
      </c>
      <c r="D90" s="463"/>
      <c r="E90" s="464"/>
      <c r="F90" s="465"/>
      <c r="G90" s="466"/>
      <c r="H90" s="467"/>
      <c r="I90" s="462"/>
      <c r="J90" s="468"/>
      <c r="K90" s="462"/>
      <c r="L90" s="469"/>
      <c r="M90" s="469"/>
      <c r="N90" s="468"/>
      <c r="O90" s="468"/>
      <c r="P90" s="468"/>
      <c r="Q90" s="470"/>
      <c r="R90" s="470"/>
      <c r="S90" s="470"/>
      <c r="T90" s="470"/>
      <c r="U90" s="470"/>
      <c r="V90" s="470"/>
      <c r="W90" s="470"/>
      <c r="X90" s="470"/>
      <c r="Y90" s="471"/>
      <c r="Z90" s="472"/>
      <c r="AA90" s="473"/>
      <c r="AB90" s="474"/>
      <c r="AC90" s="475"/>
      <c r="AD90" s="476"/>
      <c r="AE90" s="476"/>
      <c r="AF90" s="478">
        <f t="shared" ref="AF90:CA90" si="100">SUBTOTAL(9,AF89)</f>
        <v>112.9</v>
      </c>
      <c r="AG90" s="477">
        <f t="shared" si="100"/>
        <v>287.82</v>
      </c>
      <c r="AH90" s="477">
        <f t="shared" si="100"/>
        <v>51.828400000000002</v>
      </c>
      <c r="AI90" s="477">
        <f t="shared" si="100"/>
        <v>91.08</v>
      </c>
      <c r="AJ90" s="477">
        <f t="shared" si="100"/>
        <v>17.03</v>
      </c>
      <c r="AK90" s="477">
        <f t="shared" si="100"/>
        <v>0</v>
      </c>
      <c r="AL90" s="477">
        <f t="shared" si="100"/>
        <v>0</v>
      </c>
      <c r="AM90" s="477">
        <f t="shared" si="100"/>
        <v>0</v>
      </c>
      <c r="AN90" s="477">
        <f t="shared" si="100"/>
        <v>0</v>
      </c>
      <c r="AO90" s="477">
        <f t="shared" si="100"/>
        <v>560.65840000000003</v>
      </c>
      <c r="AP90" s="477">
        <f t="shared" si="100"/>
        <v>62.37</v>
      </c>
      <c r="AQ90" s="477">
        <f t="shared" si="100"/>
        <v>0</v>
      </c>
      <c r="AR90" s="477">
        <f t="shared" si="100"/>
        <v>58.53</v>
      </c>
      <c r="AS90" s="477">
        <f t="shared" si="100"/>
        <v>0</v>
      </c>
      <c r="AT90" s="477">
        <f t="shared" si="100"/>
        <v>120.9</v>
      </c>
      <c r="AU90" s="477">
        <f t="shared" si="100"/>
        <v>841.62704000000008</v>
      </c>
      <c r="AV90" s="477">
        <f t="shared" si="100"/>
        <v>4.1166540000000005</v>
      </c>
      <c r="AW90" s="477">
        <f t="shared" si="100"/>
        <v>11.435150000000002</v>
      </c>
      <c r="AX90" s="477">
        <f t="shared" si="100"/>
        <v>0.91481200000000007</v>
      </c>
      <c r="AY90" s="477">
        <f t="shared" si="100"/>
        <v>0.45740600000000003</v>
      </c>
      <c r="AZ90" s="477">
        <f t="shared" si="100"/>
        <v>8.0046050000000015</v>
      </c>
      <c r="BA90" s="477">
        <f t="shared" si="100"/>
        <v>2.9456946400000006</v>
      </c>
      <c r="BB90" s="477">
        <f t="shared" si="100"/>
        <v>3.8879510000000002</v>
      </c>
      <c r="BC90" s="477">
        <f t="shared" si="100"/>
        <v>27.64</v>
      </c>
      <c r="BD90" s="477">
        <f t="shared" si="100"/>
        <v>31.789717</v>
      </c>
      <c r="BE90" s="477">
        <f t="shared" si="100"/>
        <v>19.211052000000002</v>
      </c>
      <c r="BF90" s="477">
        <f t="shared" si="100"/>
        <v>7.5471990000000009</v>
      </c>
      <c r="BG90" s="477">
        <f t="shared" si="100"/>
        <v>0</v>
      </c>
      <c r="BH90" s="477">
        <f t="shared" si="100"/>
        <v>21.545652224000001</v>
      </c>
      <c r="BI90" s="477">
        <f t="shared" si="100"/>
        <v>80.09</v>
      </c>
      <c r="BJ90" s="477">
        <f t="shared" si="100"/>
        <v>953.47</v>
      </c>
      <c r="BK90" s="477">
        <f t="shared" si="100"/>
        <v>190.50959900000001</v>
      </c>
      <c r="BL90" s="477">
        <f t="shared" si="100"/>
        <v>254.08903300000003</v>
      </c>
      <c r="BM90" s="477">
        <f t="shared" si="100"/>
        <v>70.107532431999999</v>
      </c>
      <c r="BN90" s="477">
        <f t="shared" si="100"/>
        <v>93.504764144000006</v>
      </c>
      <c r="BO90" s="477">
        <f t="shared" si="100"/>
        <v>98.342290000000006</v>
      </c>
      <c r="BP90" s="477">
        <f t="shared" si="100"/>
        <v>0</v>
      </c>
      <c r="BQ90" s="477">
        <f t="shared" si="100"/>
        <v>706.55</v>
      </c>
      <c r="BR90" s="477">
        <f t="shared" si="100"/>
        <v>1660.02</v>
      </c>
      <c r="BS90" s="477">
        <f t="shared" si="100"/>
        <v>288.66000000000003</v>
      </c>
      <c r="BT90" s="477">
        <f t="shared" si="100"/>
        <v>346.26</v>
      </c>
      <c r="BU90" s="477">
        <f t="shared" si="100"/>
        <v>431.09015664000003</v>
      </c>
      <c r="BV90" s="477">
        <f t="shared" si="100"/>
        <v>66.83963</v>
      </c>
      <c r="BW90" s="477">
        <f t="shared" si="100"/>
        <v>497.92978664000003</v>
      </c>
      <c r="BX90" s="477">
        <f t="shared" si="100"/>
        <v>1132.84978664</v>
      </c>
      <c r="BY90" s="477">
        <f t="shared" si="100"/>
        <v>5054.9081866400002</v>
      </c>
      <c r="BZ90" s="477">
        <f t="shared" si="100"/>
        <v>706.55</v>
      </c>
      <c r="CA90" s="477">
        <f t="shared" si="100"/>
        <v>5761.4581866400003</v>
      </c>
      <c r="CB90" s="479"/>
    </row>
    <row r="91" spans="1:80" s="450" customFormat="1" ht="15.75" customHeight="1">
      <c r="A91" s="435">
        <v>1</v>
      </c>
      <c r="B91" s="435">
        <v>1</v>
      </c>
      <c r="C91" s="435" t="s">
        <v>3838</v>
      </c>
      <c r="D91" s="436">
        <f>VLOOKUP(C91,ISS!A:B,2,0)</f>
        <v>0.02</v>
      </c>
      <c r="E91" s="437">
        <f>IF(D91=2%,5.99%,IF(D91=2.5%,6.55%,IF(D91=3%,7.12%,IF(D91=3.5%,7.7%,IF(D91=4%,8.28%,IF(D91=5%,9.46%))))))</f>
        <v>5.9900000000000002E-2</v>
      </c>
      <c r="F91" s="438">
        <v>61</v>
      </c>
      <c r="G91" s="439">
        <v>12401</v>
      </c>
      <c r="H91" s="440" t="s">
        <v>3995</v>
      </c>
      <c r="I91" s="435" t="s">
        <v>3849</v>
      </c>
      <c r="J91" s="102" t="s">
        <v>3521</v>
      </c>
      <c r="K91" s="435" t="str">
        <f t="shared" si="38"/>
        <v>MatozinhosVIGILANTE ARMADO - 220 H</v>
      </c>
      <c r="L91" s="441" t="s">
        <v>3875</v>
      </c>
      <c r="M91" s="441"/>
      <c r="N91" s="102"/>
      <c r="O91" s="102"/>
      <c r="P91" s="102"/>
      <c r="Q91" s="442">
        <f>VLOOKUP('BANCO DADOS-CUSTO TOTAL'!$K91,PARAMETROS!$E:AX,3,0)</f>
        <v>1602.86</v>
      </c>
      <c r="R91" s="442">
        <f>VLOOKUP('BANCO DADOS-CUSTO TOTAL'!$K91,PARAMETROS!$E:AY,4,0)</f>
        <v>0</v>
      </c>
      <c r="S91" s="442">
        <f>VLOOKUP('BANCO DADOS-CUSTO TOTAL'!$K91,PARAMETROS!$E:AZ,5,0)</f>
        <v>480.85799999999995</v>
      </c>
      <c r="T91" s="442">
        <f>VLOOKUP('BANCO DADOS-CUSTO TOTAL'!$K91,PARAMETROS!$E:BA,6,0)</f>
        <v>0</v>
      </c>
      <c r="U91" s="442">
        <f>VLOOKUP('BANCO DADOS-CUSTO TOTAL'!$K91,PARAMETROS!$E:BB,7,0)</f>
        <v>0</v>
      </c>
      <c r="V91" s="442">
        <f>VLOOKUP('BANCO DADOS-CUSTO TOTAL'!$K91,PARAMETROS!$E:BC,8,0)</f>
        <v>0</v>
      </c>
      <c r="W91" s="442">
        <f>VLOOKUP('BANCO DADOS-CUSTO TOTAL'!$K91,PARAMETROS!$E:BD,9,0)</f>
        <v>189.42890909090909</v>
      </c>
      <c r="X91" s="442">
        <f>VLOOKUP('BANCO DADOS-CUSTO TOTAL'!$K91,PARAMETROS!$E:BE,10,0)</f>
        <v>13.891453333333336</v>
      </c>
      <c r="Y91" s="443">
        <f>TRUNC(SUM(Q91:X91),2)</f>
        <v>2287.0300000000002</v>
      </c>
      <c r="Z91" s="456"/>
      <c r="AA91" s="444">
        <v>30</v>
      </c>
      <c r="AB91" s="445">
        <f>IF(J91="EFETIVO",IF(AND(L91="",M91=""),$M$5,IF(AND(L91&lt;&gt;"",M91&lt;&gt;"",MONTH(L91)=MONTH(M91),YEAR(L91)=YEAR(M91)),M91-L91+1,IF(AND(L91&lt;&gt;"",M91&lt;&gt;"",MONTH(L91)&lt;&gt;MONTH(M91)),DAY(M91),IF(AND(L91="",M91&lt;&gt;"",MONTH($H$5)=MONTH(M91),YEAR(M91)=YEAR($H$5)),M91-$K$5+1,IF(AND(L91&lt;&gt;"",M91="",MONTH($K$5)=MONTH(L91),YEAR($K$5)=YEAR(L91)),30-DAY(L91)+1,$M$5))))),0)</f>
        <v>30</v>
      </c>
      <c r="AC91" s="446">
        <f>(Y91/30)*(AA91-Z91)</f>
        <v>2287.0300000000002</v>
      </c>
      <c r="AD91" s="447">
        <f>Y91</f>
        <v>2287.0300000000002</v>
      </c>
      <c r="AE91" s="447">
        <f>IF(AND(J91="EFETIVO",N91="FÉRIAS"),AD91,IF(J91="EFETIVO",AC91,0))</f>
        <v>2287.0300000000002</v>
      </c>
      <c r="AF91" s="443">
        <f>IF(J91="EFETIVO",VLOOKUP(K91,PARAMETROS!$E:AX,11,0),0)</f>
        <v>112.9</v>
      </c>
      <c r="AG91" s="443">
        <f>VLOOKUP(H91,'VA E VT - APOIO.LIMPEZA'!F:AX,14,0)</f>
        <v>287.82</v>
      </c>
      <c r="AH91" s="443">
        <f>VLOOKUP($H91,'VA E VT - APOIO.LIMPEZA'!$F:AY,20,0)</f>
        <v>51.828400000000002</v>
      </c>
      <c r="AI91" s="443">
        <f>IF($J91="EFETIVO",VLOOKUP($K91,PARAMETROS!$E:BA,14,0),0)</f>
        <v>91.08</v>
      </c>
      <c r="AJ91" s="443">
        <f>IF($J91="EFETIVO",VLOOKUP($K91,PARAMETROS!$E:BB,15,0),0)</f>
        <v>17.03</v>
      </c>
      <c r="AK91" s="443"/>
      <c r="AL91" s="443"/>
      <c r="AM91" s="443"/>
      <c r="AN91" s="443"/>
      <c r="AO91" s="448">
        <f>SUM(AF91:AN91)</f>
        <v>560.65840000000003</v>
      </c>
      <c r="AP91" s="443">
        <f>IF($J91="EFETIVO",VLOOKUP($K91,PARAMETROS!$E:BH,20,0),0)</f>
        <v>62.37</v>
      </c>
      <c r="AQ91" s="446"/>
      <c r="AR91" s="443">
        <f>IF($J91="EFETIVO",VLOOKUP($K91,PARAMETROS!$E:BJ,22,0),0)</f>
        <v>58.53</v>
      </c>
      <c r="AS91" s="446"/>
      <c r="AT91" s="448">
        <f>(AP91+AQ91+AR91+AS91)</f>
        <v>120.9</v>
      </c>
      <c r="AU91" s="448">
        <f>$AU$10*AC91</f>
        <v>841.62704000000008</v>
      </c>
      <c r="AV91" s="448">
        <f t="shared" ref="AV91:BB91" si="101">IF($J91="EFETIVO",$Y91*AV$10,0)</f>
        <v>4.1166540000000005</v>
      </c>
      <c r="AW91" s="448">
        <f t="shared" si="101"/>
        <v>11.435150000000002</v>
      </c>
      <c r="AX91" s="448">
        <f t="shared" si="101"/>
        <v>0.91481200000000007</v>
      </c>
      <c r="AY91" s="448">
        <f t="shared" si="101"/>
        <v>0.45740600000000003</v>
      </c>
      <c r="AZ91" s="448">
        <f t="shared" si="101"/>
        <v>8.0046050000000015</v>
      </c>
      <c r="BA91" s="448">
        <f t="shared" si="101"/>
        <v>2.9456946400000006</v>
      </c>
      <c r="BB91" s="448">
        <f t="shared" si="101"/>
        <v>3.8879510000000002</v>
      </c>
      <c r="BC91" s="448">
        <f>TRUNC(SUM(AW91:BB91),2)</f>
        <v>27.64</v>
      </c>
      <c r="BD91" s="448">
        <f>IF($J91="EFETIVO",$Y91*BD$10,0)</f>
        <v>31.789717</v>
      </c>
      <c r="BE91" s="448">
        <f>IF($J91="EFETIVO",$Y91*BE$10,0)</f>
        <v>19.211052000000002</v>
      </c>
      <c r="BF91" s="448">
        <f>IF($J91="EFETIVO",$Y91*BF$10,0)</f>
        <v>7.5471990000000009</v>
      </c>
      <c r="BG91" s="448">
        <f>IF($J91="EFETIVO",$Y91*BG$10,0)</f>
        <v>0</v>
      </c>
      <c r="BH91" s="448">
        <f>IF($J91="EFETIVO",$Y91*BH$10,0)</f>
        <v>21.545652224000001</v>
      </c>
      <c r="BI91" s="448">
        <f>TRUNC(SUM(BD91:BH91),2)</f>
        <v>80.09</v>
      </c>
      <c r="BJ91" s="448">
        <f>TRUNC((BI91+BC91+AV91+AU91),2)</f>
        <v>953.47</v>
      </c>
      <c r="BK91" s="448">
        <f>IF($N91="FÉRIAS",$AD91*$BK$10,IF($AB91&gt;=15,$AD91*$BK$10,0))</f>
        <v>190.50959900000001</v>
      </c>
      <c r="BL91" s="448">
        <f>IF($N91="FÉRIAS",$AD91*$BL$10,IF($AB91&gt;=15,$AD91*$BL$10,0))</f>
        <v>254.08903300000003</v>
      </c>
      <c r="BM91" s="448">
        <f>$BM$10*BK91</f>
        <v>70.107532431999999</v>
      </c>
      <c r="BN91" s="448">
        <f>$BN$10*BL91</f>
        <v>93.504764144000006</v>
      </c>
      <c r="BO91" s="448">
        <f>$BO$10*AE91</f>
        <v>98.342290000000006</v>
      </c>
      <c r="BP91" s="448"/>
      <c r="BQ91" s="448">
        <f>TRUNC(SUM(BK91:BP91),2)</f>
        <v>706.55</v>
      </c>
      <c r="BR91" s="448">
        <f>TRUNC((BJ91+BQ91),2)</f>
        <v>1660.02</v>
      </c>
      <c r="BS91" s="448">
        <f>IF($J91="EFETIVO",BS$10,0)</f>
        <v>288.66000000000003</v>
      </c>
      <c r="BT91" s="448">
        <f>IF($J91="EFETIVO",BT$10,0)</f>
        <v>346.26</v>
      </c>
      <c r="BU91" s="448">
        <f>((AC91+AO91+AT91+BJ91+BS91+BT91)*E91)</f>
        <v>272.96300616000002</v>
      </c>
      <c r="BV91" s="448">
        <f>BQ91*E91</f>
        <v>42.322344999999999</v>
      </c>
      <c r="BW91" s="448">
        <f>SUM(BU91:BV91)</f>
        <v>315.28535116</v>
      </c>
      <c r="BX91" s="448">
        <f>BS91+BT91+BW91</f>
        <v>950.20535116000008</v>
      </c>
      <c r="BY91" s="448">
        <f>(AC91+AO91+AT91+BJ91+BX91)</f>
        <v>4872.2637511599996</v>
      </c>
      <c r="BZ91" s="448">
        <f>BQ91</f>
        <v>706.55</v>
      </c>
      <c r="CA91" s="448">
        <f>BY91+BZ91</f>
        <v>5578.8137511599998</v>
      </c>
      <c r="CB91" s="449"/>
    </row>
    <row r="92" spans="1:80" s="480" customFormat="1" ht="15.75" customHeight="1">
      <c r="A92" s="462"/>
      <c r="B92" s="462"/>
      <c r="C92" s="462" t="s">
        <v>3897</v>
      </c>
      <c r="D92" s="463"/>
      <c r="E92" s="464"/>
      <c r="F92" s="465"/>
      <c r="G92" s="466"/>
      <c r="H92" s="467"/>
      <c r="I92" s="462"/>
      <c r="J92" s="468"/>
      <c r="K92" s="462"/>
      <c r="L92" s="469"/>
      <c r="M92" s="469"/>
      <c r="N92" s="468"/>
      <c r="O92" s="468"/>
      <c r="P92" s="468"/>
      <c r="Q92" s="470"/>
      <c r="R92" s="470"/>
      <c r="S92" s="470"/>
      <c r="T92" s="470"/>
      <c r="U92" s="470"/>
      <c r="V92" s="470"/>
      <c r="W92" s="470"/>
      <c r="X92" s="470"/>
      <c r="Y92" s="471"/>
      <c r="Z92" s="472"/>
      <c r="AA92" s="473"/>
      <c r="AB92" s="474"/>
      <c r="AC92" s="475"/>
      <c r="AD92" s="476"/>
      <c r="AE92" s="476"/>
      <c r="AF92" s="477">
        <f t="shared" ref="AF92:BZ92" si="102">SUBTOTAL(9,AF91)</f>
        <v>112.9</v>
      </c>
      <c r="AG92" s="477">
        <f t="shared" si="102"/>
        <v>287.82</v>
      </c>
      <c r="AH92" s="477">
        <f t="shared" si="102"/>
        <v>51.828400000000002</v>
      </c>
      <c r="AI92" s="477">
        <f t="shared" si="102"/>
        <v>91.08</v>
      </c>
      <c r="AJ92" s="477">
        <f t="shared" si="102"/>
        <v>17.03</v>
      </c>
      <c r="AK92" s="477">
        <f t="shared" si="102"/>
        <v>0</v>
      </c>
      <c r="AL92" s="477">
        <f t="shared" si="102"/>
        <v>0</v>
      </c>
      <c r="AM92" s="477">
        <f t="shared" si="102"/>
        <v>0</v>
      </c>
      <c r="AN92" s="477">
        <f t="shared" si="102"/>
        <v>0</v>
      </c>
      <c r="AO92" s="477">
        <f t="shared" si="102"/>
        <v>560.65840000000003</v>
      </c>
      <c r="AP92" s="477">
        <f t="shared" si="102"/>
        <v>62.37</v>
      </c>
      <c r="AQ92" s="477">
        <f t="shared" si="102"/>
        <v>0</v>
      </c>
      <c r="AR92" s="477">
        <f t="shared" si="102"/>
        <v>58.53</v>
      </c>
      <c r="AS92" s="477">
        <f t="shared" si="102"/>
        <v>0</v>
      </c>
      <c r="AT92" s="477">
        <f t="shared" si="102"/>
        <v>120.9</v>
      </c>
      <c r="AU92" s="477">
        <f t="shared" si="102"/>
        <v>841.62704000000008</v>
      </c>
      <c r="AV92" s="477">
        <f t="shared" si="102"/>
        <v>4.1166540000000005</v>
      </c>
      <c r="AW92" s="477">
        <f t="shared" si="102"/>
        <v>11.435150000000002</v>
      </c>
      <c r="AX92" s="477">
        <f t="shared" si="102"/>
        <v>0.91481200000000007</v>
      </c>
      <c r="AY92" s="477">
        <f t="shared" si="102"/>
        <v>0.45740600000000003</v>
      </c>
      <c r="AZ92" s="477">
        <f t="shared" si="102"/>
        <v>8.0046050000000015</v>
      </c>
      <c r="BA92" s="477">
        <f t="shared" si="102"/>
        <v>2.9456946400000006</v>
      </c>
      <c r="BB92" s="477">
        <f t="shared" si="102"/>
        <v>3.8879510000000002</v>
      </c>
      <c r="BC92" s="477">
        <f t="shared" si="102"/>
        <v>27.64</v>
      </c>
      <c r="BD92" s="477">
        <f t="shared" si="102"/>
        <v>31.789717</v>
      </c>
      <c r="BE92" s="477">
        <f t="shared" si="102"/>
        <v>19.211052000000002</v>
      </c>
      <c r="BF92" s="477">
        <f t="shared" si="102"/>
        <v>7.5471990000000009</v>
      </c>
      <c r="BG92" s="477">
        <f t="shared" si="102"/>
        <v>0</v>
      </c>
      <c r="BH92" s="477">
        <f t="shared" si="102"/>
        <v>21.545652224000001</v>
      </c>
      <c r="BI92" s="477">
        <f t="shared" si="102"/>
        <v>80.09</v>
      </c>
      <c r="BJ92" s="477">
        <f t="shared" si="102"/>
        <v>953.47</v>
      </c>
      <c r="BK92" s="477">
        <f t="shared" si="102"/>
        <v>190.50959900000001</v>
      </c>
      <c r="BL92" s="477">
        <f t="shared" si="102"/>
        <v>254.08903300000003</v>
      </c>
      <c r="BM92" s="477">
        <f t="shared" si="102"/>
        <v>70.107532431999999</v>
      </c>
      <c r="BN92" s="477">
        <f t="shared" si="102"/>
        <v>93.504764144000006</v>
      </c>
      <c r="BO92" s="477">
        <f t="shared" si="102"/>
        <v>98.342290000000006</v>
      </c>
      <c r="BP92" s="477">
        <f t="shared" si="102"/>
        <v>0</v>
      </c>
      <c r="BQ92" s="477">
        <f t="shared" si="102"/>
        <v>706.55</v>
      </c>
      <c r="BR92" s="477">
        <f t="shared" si="102"/>
        <v>1660.02</v>
      </c>
      <c r="BS92" s="477">
        <f t="shared" si="102"/>
        <v>288.66000000000003</v>
      </c>
      <c r="BT92" s="477">
        <f t="shared" si="102"/>
        <v>346.26</v>
      </c>
      <c r="BU92" s="477">
        <f t="shared" si="102"/>
        <v>272.96300616000002</v>
      </c>
      <c r="BV92" s="477">
        <f t="shared" si="102"/>
        <v>42.322344999999999</v>
      </c>
      <c r="BW92" s="477">
        <f t="shared" si="102"/>
        <v>315.28535116</v>
      </c>
      <c r="BX92" s="477">
        <f t="shared" si="102"/>
        <v>950.20535116000008</v>
      </c>
      <c r="BY92" s="477">
        <f t="shared" si="102"/>
        <v>4872.2637511599996</v>
      </c>
      <c r="BZ92" s="477">
        <f t="shared" si="102"/>
        <v>706.55</v>
      </c>
      <c r="CA92" s="477">
        <f>SUBTOTAL(9,CA91)</f>
        <v>5578.8137511599998</v>
      </c>
      <c r="CB92" s="479"/>
    </row>
    <row r="93" spans="1:80" s="450" customFormat="1" ht="15.75" customHeight="1">
      <c r="A93" s="435">
        <v>1</v>
      </c>
      <c r="B93" s="435">
        <v>1</v>
      </c>
      <c r="C93" s="435" t="s">
        <v>3839</v>
      </c>
      <c r="D93" s="436">
        <f>VLOOKUP(C93,ISS!A:B,2,0)</f>
        <v>0.03</v>
      </c>
      <c r="E93" s="437">
        <f>IF(D93=2%,5.99%,IF(D93=2.5%,6.55%,IF(D93=3%,7.12%,IF(D93=3.5%,7.7%,IF(D93=4%,8.28%,IF(D93=5%,9.46%))))))</f>
        <v>7.1199999999999999E-2</v>
      </c>
      <c r="F93" s="438">
        <v>62</v>
      </c>
      <c r="G93" s="439">
        <v>12402</v>
      </c>
      <c r="H93" s="440" t="s">
        <v>3996</v>
      </c>
      <c r="I93" s="435" t="s">
        <v>3848</v>
      </c>
      <c r="J93" s="102" t="s">
        <v>3521</v>
      </c>
      <c r="K93" s="435" t="str">
        <f t="shared" si="38"/>
        <v>Monte CarmeloVIGILANTE ARMADO - 12X36 DIURNO</v>
      </c>
      <c r="L93" s="441" t="s">
        <v>3875</v>
      </c>
      <c r="M93" s="441"/>
      <c r="N93" s="102"/>
      <c r="O93" s="102"/>
      <c r="P93" s="102"/>
      <c r="Q93" s="442">
        <f>VLOOKUP('BANCO DADOS-CUSTO TOTAL'!$K93,PARAMETROS!$E:AX,3,0)</f>
        <v>1602.86</v>
      </c>
      <c r="R93" s="442">
        <f>VLOOKUP('BANCO DADOS-CUSTO TOTAL'!$K93,PARAMETROS!$E:AY,4,0)</f>
        <v>0</v>
      </c>
      <c r="S93" s="442">
        <f>VLOOKUP('BANCO DADOS-CUSTO TOTAL'!$K93,PARAMETROS!$E:AZ,5,0)</f>
        <v>480.85799999999995</v>
      </c>
      <c r="T93" s="442">
        <f>VLOOKUP('BANCO DADOS-CUSTO TOTAL'!$K93,PARAMETROS!$E:BA,6,0)</f>
        <v>0</v>
      </c>
      <c r="U93" s="442">
        <f>VLOOKUP('BANCO DADOS-CUSTO TOTAL'!$K93,PARAMETROS!$E:BB,7,0)</f>
        <v>0</v>
      </c>
      <c r="V93" s="442">
        <f>VLOOKUP('BANCO DADOS-CUSTO TOTAL'!$K93,PARAMETROS!$E:BC,8,0)</f>
        <v>0</v>
      </c>
      <c r="W93" s="442">
        <f>VLOOKUP('BANCO DADOS-CUSTO TOTAL'!$K93,PARAMETROS!$E:BD,9,0)</f>
        <v>146.80740454545455</v>
      </c>
      <c r="X93" s="442">
        <f>VLOOKUP('BANCO DADOS-CUSTO TOTAL'!$K93,PARAMETROS!$E:BE,10,0)</f>
        <v>47.357227272727279</v>
      </c>
      <c r="Y93" s="443">
        <f t="shared" ref="Y93:Y94" si="103">TRUNC(SUM(Q93:X93),2)</f>
        <v>2277.88</v>
      </c>
      <c r="Z93" s="456"/>
      <c r="AA93" s="444">
        <v>30</v>
      </c>
      <c r="AB93" s="445">
        <f>IF(J93="EFETIVO",IF(AND(L93="",M93=""),$M$5,IF(AND(L93&lt;&gt;"",M93&lt;&gt;"",MONTH(L93)=MONTH(M93),YEAR(L93)=YEAR(M93)),M93-L93+1,IF(AND(L93&lt;&gt;"",M93&lt;&gt;"",MONTH(L93)&lt;&gt;MONTH(M93)),DAY(M93),IF(AND(L93="",M93&lt;&gt;"",MONTH($H$5)=MONTH(M93),YEAR(M93)=YEAR($H$5)),M93-$K$5+1,IF(AND(L93&lt;&gt;"",M93="",MONTH($K$5)=MONTH(L93),YEAR($K$5)=YEAR(L93)),30-DAY(L93)+1,$M$5))))),0)</f>
        <v>30</v>
      </c>
      <c r="AC93" s="446">
        <f>(Y93/30)*(AA93-Z93)</f>
        <v>2277.88</v>
      </c>
      <c r="AD93" s="447">
        <f>Y93</f>
        <v>2277.88</v>
      </c>
      <c r="AE93" s="447">
        <f>IF(AND(J93="EFETIVO",N93="FÉRIAS"),AD93,IF(J93="EFETIVO",AC93,0))</f>
        <v>2277.88</v>
      </c>
      <c r="AF93" s="443">
        <f>IF(J93="EFETIVO",VLOOKUP(K93,PARAMETROS!$E:AX,11,0),0)</f>
        <v>112.9</v>
      </c>
      <c r="AG93" s="443">
        <f>VLOOKUP(H93,'VA E VT - APOIO.LIMPEZA'!F:AX,14,0)</f>
        <v>223.06049999999999</v>
      </c>
      <c r="AH93" s="443">
        <f>VLOOKUP($H93,'VA E VT - APOIO.LIMPEZA'!$F:AY,20,0)</f>
        <v>18.528400000000005</v>
      </c>
      <c r="AI93" s="443">
        <f>IF($J93="EFETIVO",VLOOKUP($K93,PARAMETROS!$E:BA,14,0),0)</f>
        <v>91.08</v>
      </c>
      <c r="AJ93" s="443">
        <f>IF($J93="EFETIVO",VLOOKUP($K93,PARAMETROS!$E:BB,15,0),0)</f>
        <v>17.03</v>
      </c>
      <c r="AK93" s="443"/>
      <c r="AL93" s="443"/>
      <c r="AM93" s="443"/>
      <c r="AN93" s="443"/>
      <c r="AO93" s="448">
        <f t="shared" ref="AO93:AO94" si="104">SUM(AF93:AN93)</f>
        <v>462.59890000000007</v>
      </c>
      <c r="AP93" s="443">
        <f>IF($J93="EFETIVO",VLOOKUP($K93,PARAMETROS!$E:BH,20,0),0)</f>
        <v>62.37</v>
      </c>
      <c r="AQ93" s="446"/>
      <c r="AR93" s="443">
        <f>IF($J93="EFETIVO",VLOOKUP($K93,PARAMETROS!$E:BJ,22,0),0)</f>
        <v>58.53</v>
      </c>
      <c r="AS93" s="446"/>
      <c r="AT93" s="448">
        <f t="shared" ref="AT93:AT94" si="105">(AP93+AQ93+AR93+AS93)</f>
        <v>120.9</v>
      </c>
      <c r="AU93" s="448">
        <f>$AU$10*AC93</f>
        <v>838.25984000000005</v>
      </c>
      <c r="AV93" s="448">
        <f t="shared" ref="AV93:BB94" si="106">IF($J93="EFETIVO",$Y93*AV$10,0)</f>
        <v>4.1001840000000005</v>
      </c>
      <c r="AW93" s="448">
        <f t="shared" si="106"/>
        <v>11.3894</v>
      </c>
      <c r="AX93" s="448">
        <f t="shared" si="106"/>
        <v>0.91115200000000007</v>
      </c>
      <c r="AY93" s="448">
        <f t="shared" si="106"/>
        <v>0.45557600000000004</v>
      </c>
      <c r="AZ93" s="448">
        <f t="shared" si="106"/>
        <v>7.9725800000000007</v>
      </c>
      <c r="BA93" s="448">
        <f t="shared" si="106"/>
        <v>2.9339094400000003</v>
      </c>
      <c r="BB93" s="448">
        <f t="shared" si="106"/>
        <v>3.8723960000000002</v>
      </c>
      <c r="BC93" s="448">
        <f t="shared" ref="BC93:BC94" si="107">TRUNC(SUM(AW93:BB93),2)</f>
        <v>27.53</v>
      </c>
      <c r="BD93" s="448">
        <f t="shared" ref="BD93:BH94" si="108">IF($J93="EFETIVO",$Y93*BD$10,0)</f>
        <v>31.662531999999999</v>
      </c>
      <c r="BE93" s="448">
        <f t="shared" si="108"/>
        <v>19.134191999999999</v>
      </c>
      <c r="BF93" s="448">
        <f t="shared" si="108"/>
        <v>7.517004</v>
      </c>
      <c r="BG93" s="448">
        <f t="shared" si="108"/>
        <v>0</v>
      </c>
      <c r="BH93" s="448">
        <f t="shared" si="108"/>
        <v>21.459451904000002</v>
      </c>
      <c r="BI93" s="448">
        <f t="shared" ref="BI93:BI94" si="109">TRUNC(SUM(BD93:BH93),2)</f>
        <v>79.77</v>
      </c>
      <c r="BJ93" s="448">
        <f t="shared" ref="BJ93:BJ94" si="110">TRUNC((BI93+BC93+AV93+AU93),2)</f>
        <v>949.66</v>
      </c>
      <c r="BK93" s="448">
        <f>IF($N93="FÉRIAS",$AD93*$BK$10,IF($AB93&gt;=15,$AD93*$BK$10,0))</f>
        <v>189.74740400000002</v>
      </c>
      <c r="BL93" s="448">
        <f>IF($N93="FÉRIAS",$AD93*$BL$10,IF($AB93&gt;=15,$AD93*$BL$10,0))</f>
        <v>253.07246800000001</v>
      </c>
      <c r="BM93" s="448">
        <f>$BM$10*BK93</f>
        <v>69.827044672</v>
      </c>
      <c r="BN93" s="448">
        <f>$BN$10*BL93</f>
        <v>93.130668224000004</v>
      </c>
      <c r="BO93" s="448">
        <f>$BO$10*AE93</f>
        <v>97.94883999999999</v>
      </c>
      <c r="BP93" s="448"/>
      <c r="BQ93" s="448">
        <f t="shared" ref="BQ93:BQ94" si="111">TRUNC(SUM(BK93:BP93),2)</f>
        <v>703.72</v>
      </c>
      <c r="BR93" s="448">
        <f t="shared" ref="BR93:BR94" si="112">TRUNC((BJ93+BQ93),2)</f>
        <v>1653.38</v>
      </c>
      <c r="BS93" s="448">
        <f>IF($J93="EFETIVO",BS$10,0)</f>
        <v>288.66000000000003</v>
      </c>
      <c r="BT93" s="448">
        <f>IF($J93="EFETIVO",BT$10,0)</f>
        <v>346.26</v>
      </c>
      <c r="BU93" s="448">
        <f>((AC93+AO93+AT93+BJ93+BS93+BT93)*E93)</f>
        <v>316.55227368000004</v>
      </c>
      <c r="BV93" s="448">
        <f>BQ93*E93</f>
        <v>50.104863999999999</v>
      </c>
      <c r="BW93" s="448">
        <f>SUM(BU93:BV93)</f>
        <v>366.65713768000006</v>
      </c>
      <c r="BX93" s="448">
        <f>BS93+BT93+BW93</f>
        <v>1001.5771376800001</v>
      </c>
      <c r="BY93" s="448">
        <f t="shared" ref="BY93:BY94" si="113">(AC93+AO93+AT93+BJ93+BX93)</f>
        <v>4812.6160376799999</v>
      </c>
      <c r="BZ93" s="448">
        <f>BQ93</f>
        <v>703.72</v>
      </c>
      <c r="CA93" s="448">
        <f>BY93+BZ93</f>
        <v>5516.3360376800001</v>
      </c>
      <c r="CB93" s="449"/>
    </row>
    <row r="94" spans="1:80" s="450" customFormat="1" ht="15.75" customHeight="1">
      <c r="A94" s="435">
        <v>1</v>
      </c>
      <c r="B94" s="435">
        <v>1</v>
      </c>
      <c r="C94" s="435" t="s">
        <v>3839</v>
      </c>
      <c r="D94" s="436">
        <f>VLOOKUP(C94,ISS!A:B,2,0)</f>
        <v>0.03</v>
      </c>
      <c r="E94" s="437">
        <f>IF(D94=2%,5.99%,IF(D94=2.5%,6.55%,IF(D94=3%,7.12%,IF(D94=3.5%,7.7%,IF(D94=4%,8.28%,IF(D94=5%,9.46%))))))</f>
        <v>7.1199999999999999E-2</v>
      </c>
      <c r="F94" s="438">
        <v>63</v>
      </c>
      <c r="G94" s="439">
        <v>12403</v>
      </c>
      <c r="H94" s="440" t="s">
        <v>3997</v>
      </c>
      <c r="I94" s="435" t="s">
        <v>3848</v>
      </c>
      <c r="J94" s="102" t="s">
        <v>3521</v>
      </c>
      <c r="K94" s="435" t="str">
        <f>CONCATENATE(C94,I94)</f>
        <v>Monte CarmeloVIGILANTE ARMADO - 12X36 DIURNO</v>
      </c>
      <c r="L94" s="441" t="s">
        <v>3875</v>
      </c>
      <c r="M94" s="441"/>
      <c r="N94" s="102"/>
      <c r="O94" s="102"/>
      <c r="P94" s="102"/>
      <c r="Q94" s="442">
        <f>VLOOKUP('BANCO DADOS-CUSTO TOTAL'!$K94,PARAMETROS!$E:AX,3,0)</f>
        <v>1602.86</v>
      </c>
      <c r="R94" s="442">
        <f>VLOOKUP('BANCO DADOS-CUSTO TOTAL'!$K94,PARAMETROS!$E:AY,4,0)</f>
        <v>0</v>
      </c>
      <c r="S94" s="442">
        <f>VLOOKUP('BANCO DADOS-CUSTO TOTAL'!$K94,PARAMETROS!$E:AZ,5,0)</f>
        <v>480.85799999999995</v>
      </c>
      <c r="T94" s="442">
        <f>VLOOKUP('BANCO DADOS-CUSTO TOTAL'!$K94,PARAMETROS!$E:BA,6,0)</f>
        <v>0</v>
      </c>
      <c r="U94" s="442">
        <f>VLOOKUP('BANCO DADOS-CUSTO TOTAL'!$K94,PARAMETROS!$E:BB,7,0)</f>
        <v>0</v>
      </c>
      <c r="V94" s="442">
        <f>VLOOKUP('BANCO DADOS-CUSTO TOTAL'!$K94,PARAMETROS!$E:BC,8,0)</f>
        <v>0</v>
      </c>
      <c r="W94" s="442">
        <f>VLOOKUP('BANCO DADOS-CUSTO TOTAL'!$K94,PARAMETROS!$E:BD,9,0)</f>
        <v>146.80740454545455</v>
      </c>
      <c r="X94" s="442">
        <f>VLOOKUP('BANCO DADOS-CUSTO TOTAL'!$K94,PARAMETROS!$E:BE,10,0)</f>
        <v>47.357227272727279</v>
      </c>
      <c r="Y94" s="443">
        <f t="shared" si="103"/>
        <v>2277.88</v>
      </c>
      <c r="Z94" s="456"/>
      <c r="AA94" s="444">
        <v>30</v>
      </c>
      <c r="AB94" s="445">
        <f>IF(J94="EFETIVO",IF(AND(L94="",M94=""),$M$5,IF(AND(L94&lt;&gt;"",M94&lt;&gt;"",MONTH(L94)=MONTH(M94),YEAR(L94)=YEAR(M94)),M94-L94+1,IF(AND(L94&lt;&gt;"",M94&lt;&gt;"",MONTH(L94)&lt;&gt;MONTH(M94)),DAY(M94),IF(AND(L94="",M94&lt;&gt;"",MONTH($H$5)=MONTH(M94),YEAR(M94)=YEAR($H$5)),M94-$K$5+1,IF(AND(L94&lt;&gt;"",M94="",MONTH($K$5)=MONTH(L94),YEAR($K$5)=YEAR(L94)),30-DAY(L94)+1,$M$5))))),0)</f>
        <v>30</v>
      </c>
      <c r="AC94" s="446">
        <f>(Y94/30)*(AA94-Z94)</f>
        <v>2277.88</v>
      </c>
      <c r="AD94" s="447">
        <f>Y94</f>
        <v>2277.88</v>
      </c>
      <c r="AE94" s="447">
        <f>IF(AND(J94="EFETIVO",N94="FÉRIAS"),AD94,IF(J94="EFETIVO",AC94,0))</f>
        <v>2277.88</v>
      </c>
      <c r="AF94" s="443">
        <f>IF(J94="EFETIVO",VLOOKUP(K94,PARAMETROS!$E:AX,11,0),0)</f>
        <v>112.9</v>
      </c>
      <c r="AG94" s="443">
        <f>VLOOKUP(H94,'VA E VT - APOIO.LIMPEZA'!F:AX,14,0)</f>
        <v>223.06049999999999</v>
      </c>
      <c r="AH94" s="443">
        <f>VLOOKUP($H94,'VA E VT - APOIO.LIMPEZA'!$F:AY,20,0)</f>
        <v>18.528400000000005</v>
      </c>
      <c r="AI94" s="443">
        <f>IF($J94="EFETIVO",VLOOKUP($K94,PARAMETROS!$E:BA,14,0),0)</f>
        <v>91.08</v>
      </c>
      <c r="AJ94" s="443">
        <f>IF($J94="EFETIVO",VLOOKUP($K94,PARAMETROS!$E:BB,15,0),0)</f>
        <v>17.03</v>
      </c>
      <c r="AK94" s="443"/>
      <c r="AL94" s="443"/>
      <c r="AM94" s="443"/>
      <c r="AN94" s="443"/>
      <c r="AO94" s="448">
        <f t="shared" si="104"/>
        <v>462.59890000000007</v>
      </c>
      <c r="AP94" s="443">
        <f>IF($J94="EFETIVO",VLOOKUP($K94,PARAMETROS!$E:BH,20,0),0)</f>
        <v>62.37</v>
      </c>
      <c r="AQ94" s="446"/>
      <c r="AR94" s="443">
        <f>IF($J94="EFETIVO",VLOOKUP($K94,PARAMETROS!$E:BJ,22,0),0)</f>
        <v>58.53</v>
      </c>
      <c r="AS94" s="446"/>
      <c r="AT94" s="448">
        <f t="shared" si="105"/>
        <v>120.9</v>
      </c>
      <c r="AU94" s="448">
        <f>$AU$10*AC94</f>
        <v>838.25984000000005</v>
      </c>
      <c r="AV94" s="448">
        <f t="shared" si="106"/>
        <v>4.1001840000000005</v>
      </c>
      <c r="AW94" s="448">
        <f t="shared" si="106"/>
        <v>11.3894</v>
      </c>
      <c r="AX94" s="448">
        <f t="shared" si="106"/>
        <v>0.91115200000000007</v>
      </c>
      <c r="AY94" s="448">
        <f t="shared" si="106"/>
        <v>0.45557600000000004</v>
      </c>
      <c r="AZ94" s="448">
        <f t="shared" si="106"/>
        <v>7.9725800000000007</v>
      </c>
      <c r="BA94" s="448">
        <f t="shared" si="106"/>
        <v>2.9339094400000003</v>
      </c>
      <c r="BB94" s="448">
        <f t="shared" si="106"/>
        <v>3.8723960000000002</v>
      </c>
      <c r="BC94" s="448">
        <f t="shared" si="107"/>
        <v>27.53</v>
      </c>
      <c r="BD94" s="448">
        <f t="shared" si="108"/>
        <v>31.662531999999999</v>
      </c>
      <c r="BE94" s="448">
        <f t="shared" si="108"/>
        <v>19.134191999999999</v>
      </c>
      <c r="BF94" s="448">
        <f t="shared" si="108"/>
        <v>7.517004</v>
      </c>
      <c r="BG94" s="448">
        <f t="shared" si="108"/>
        <v>0</v>
      </c>
      <c r="BH94" s="448">
        <f t="shared" si="108"/>
        <v>21.459451904000002</v>
      </c>
      <c r="BI94" s="448">
        <f t="shared" si="109"/>
        <v>79.77</v>
      </c>
      <c r="BJ94" s="448">
        <f t="shared" si="110"/>
        <v>949.66</v>
      </c>
      <c r="BK94" s="448">
        <f>IF($N94="FÉRIAS",$AD94*$BK$10,IF($AB94&gt;=15,$AD94*$BK$10,0))</f>
        <v>189.74740400000002</v>
      </c>
      <c r="BL94" s="448">
        <f>IF($N94="FÉRIAS",$AD94*$BL$10,IF($AB94&gt;=15,$AD94*$BL$10,0))</f>
        <v>253.07246800000001</v>
      </c>
      <c r="BM94" s="448">
        <f>$BM$10*BK94</f>
        <v>69.827044672</v>
      </c>
      <c r="BN94" s="448">
        <f>$BN$10*BL94</f>
        <v>93.130668224000004</v>
      </c>
      <c r="BO94" s="448">
        <f>$BO$10*AE94</f>
        <v>97.94883999999999</v>
      </c>
      <c r="BP94" s="448"/>
      <c r="BQ94" s="448">
        <f t="shared" si="111"/>
        <v>703.72</v>
      </c>
      <c r="BR94" s="448">
        <f t="shared" si="112"/>
        <v>1653.38</v>
      </c>
      <c r="BS94" s="448">
        <f>IF($J94="EFETIVO",BS$10,0)</f>
        <v>288.66000000000003</v>
      </c>
      <c r="BT94" s="448">
        <f>IF($J94="EFETIVO",BT$10,0)</f>
        <v>346.26</v>
      </c>
      <c r="BU94" s="448">
        <f>((AC94+AO94+AT94+BJ94+BS94+BT94)*E94)</f>
        <v>316.55227368000004</v>
      </c>
      <c r="BV94" s="448">
        <f>BQ94*E94</f>
        <v>50.104863999999999</v>
      </c>
      <c r="BW94" s="448">
        <f>SUM(BU94:BV94)</f>
        <v>366.65713768000006</v>
      </c>
      <c r="BX94" s="448">
        <f>BS94+BT94+BW94</f>
        <v>1001.5771376800001</v>
      </c>
      <c r="BY94" s="448">
        <f t="shared" si="113"/>
        <v>4812.6160376799999</v>
      </c>
      <c r="BZ94" s="448">
        <f>BQ94</f>
        <v>703.72</v>
      </c>
      <c r="CA94" s="448">
        <f>BY94+BZ94</f>
        <v>5516.3360376800001</v>
      </c>
      <c r="CB94" s="449"/>
    </row>
    <row r="95" spans="1:80" s="480" customFormat="1" ht="15.75" customHeight="1">
      <c r="A95" s="462"/>
      <c r="B95" s="462"/>
      <c r="C95" s="462" t="s">
        <v>3898</v>
      </c>
      <c r="D95" s="463"/>
      <c r="E95" s="464"/>
      <c r="F95" s="465"/>
      <c r="G95" s="466"/>
      <c r="H95" s="467"/>
      <c r="I95" s="462"/>
      <c r="J95" s="468"/>
      <c r="K95" s="462"/>
      <c r="L95" s="469"/>
      <c r="M95" s="469"/>
      <c r="N95" s="468"/>
      <c r="O95" s="468"/>
      <c r="P95" s="468"/>
      <c r="Q95" s="470"/>
      <c r="R95" s="470"/>
      <c r="S95" s="470"/>
      <c r="T95" s="470"/>
      <c r="U95" s="470"/>
      <c r="V95" s="470"/>
      <c r="W95" s="470"/>
      <c r="X95" s="470"/>
      <c r="Y95" s="471"/>
      <c r="Z95" s="472"/>
      <c r="AA95" s="473"/>
      <c r="AB95" s="474"/>
      <c r="AC95" s="475"/>
      <c r="AD95" s="476"/>
      <c r="AE95" s="476"/>
      <c r="AF95" s="471">
        <f>SUBTOTAL(9,AF93:AF94)</f>
        <v>225.8</v>
      </c>
      <c r="AG95" s="471">
        <f t="shared" ref="AG95:CA95" si="114">SUBTOTAL(9,AG93:AG94)</f>
        <v>446.12099999999998</v>
      </c>
      <c r="AH95" s="471">
        <f t="shared" si="114"/>
        <v>37.05680000000001</v>
      </c>
      <c r="AI95" s="471">
        <f t="shared" si="114"/>
        <v>182.16</v>
      </c>
      <c r="AJ95" s="471">
        <f t="shared" si="114"/>
        <v>34.06</v>
      </c>
      <c r="AK95" s="471">
        <f t="shared" si="114"/>
        <v>0</v>
      </c>
      <c r="AL95" s="471">
        <f t="shared" si="114"/>
        <v>0</v>
      </c>
      <c r="AM95" s="471">
        <f t="shared" si="114"/>
        <v>0</v>
      </c>
      <c r="AN95" s="471">
        <f t="shared" si="114"/>
        <v>0</v>
      </c>
      <c r="AO95" s="471">
        <f t="shared" si="114"/>
        <v>925.19780000000014</v>
      </c>
      <c r="AP95" s="471">
        <f t="shared" si="114"/>
        <v>124.74</v>
      </c>
      <c r="AQ95" s="471">
        <f t="shared" si="114"/>
        <v>0</v>
      </c>
      <c r="AR95" s="471">
        <f t="shared" si="114"/>
        <v>117.06</v>
      </c>
      <c r="AS95" s="471">
        <f t="shared" si="114"/>
        <v>0</v>
      </c>
      <c r="AT95" s="471">
        <f t="shared" si="114"/>
        <v>241.8</v>
      </c>
      <c r="AU95" s="471">
        <f t="shared" si="114"/>
        <v>1676.5196800000001</v>
      </c>
      <c r="AV95" s="471">
        <f t="shared" si="114"/>
        <v>8.200368000000001</v>
      </c>
      <c r="AW95" s="471">
        <f t="shared" si="114"/>
        <v>22.7788</v>
      </c>
      <c r="AX95" s="471">
        <f t="shared" si="114"/>
        <v>1.8223040000000001</v>
      </c>
      <c r="AY95" s="471">
        <f t="shared" si="114"/>
        <v>0.91115200000000007</v>
      </c>
      <c r="AZ95" s="471">
        <f t="shared" si="114"/>
        <v>15.945160000000001</v>
      </c>
      <c r="BA95" s="471">
        <f t="shared" si="114"/>
        <v>5.8678188800000006</v>
      </c>
      <c r="BB95" s="471">
        <f t="shared" si="114"/>
        <v>7.7447920000000003</v>
      </c>
      <c r="BC95" s="471">
        <f t="shared" si="114"/>
        <v>55.06</v>
      </c>
      <c r="BD95" s="471">
        <f t="shared" si="114"/>
        <v>63.325063999999998</v>
      </c>
      <c r="BE95" s="471">
        <f t="shared" si="114"/>
        <v>38.268383999999998</v>
      </c>
      <c r="BF95" s="471">
        <f t="shared" si="114"/>
        <v>15.034008</v>
      </c>
      <c r="BG95" s="471">
        <f t="shared" si="114"/>
        <v>0</v>
      </c>
      <c r="BH95" s="471">
        <f t="shared" si="114"/>
        <v>42.918903808000003</v>
      </c>
      <c r="BI95" s="471">
        <f t="shared" si="114"/>
        <v>159.54</v>
      </c>
      <c r="BJ95" s="471">
        <f t="shared" si="114"/>
        <v>1899.32</v>
      </c>
      <c r="BK95" s="471">
        <f t="shared" si="114"/>
        <v>379.49480800000003</v>
      </c>
      <c r="BL95" s="471">
        <f t="shared" si="114"/>
        <v>506.14493600000003</v>
      </c>
      <c r="BM95" s="471">
        <f t="shared" si="114"/>
        <v>139.654089344</v>
      </c>
      <c r="BN95" s="471">
        <f t="shared" si="114"/>
        <v>186.26133644800001</v>
      </c>
      <c r="BO95" s="471">
        <f t="shared" si="114"/>
        <v>195.89767999999998</v>
      </c>
      <c r="BP95" s="471">
        <f t="shared" si="114"/>
        <v>0</v>
      </c>
      <c r="BQ95" s="471">
        <f t="shared" si="114"/>
        <v>1407.44</v>
      </c>
      <c r="BR95" s="471">
        <f t="shared" si="114"/>
        <v>3306.76</v>
      </c>
      <c r="BS95" s="471">
        <f t="shared" si="114"/>
        <v>577.32000000000005</v>
      </c>
      <c r="BT95" s="471">
        <f t="shared" si="114"/>
        <v>692.52</v>
      </c>
      <c r="BU95" s="471">
        <f t="shared" si="114"/>
        <v>633.10454736000008</v>
      </c>
      <c r="BV95" s="471">
        <f t="shared" si="114"/>
        <v>100.209728</v>
      </c>
      <c r="BW95" s="471">
        <f t="shared" si="114"/>
        <v>733.31427536000012</v>
      </c>
      <c r="BX95" s="471">
        <f t="shared" si="114"/>
        <v>2003.1542753600002</v>
      </c>
      <c r="BY95" s="471">
        <f t="shared" si="114"/>
        <v>9625.2320753599997</v>
      </c>
      <c r="BZ95" s="471">
        <f t="shared" si="114"/>
        <v>1407.44</v>
      </c>
      <c r="CA95" s="471">
        <f t="shared" si="114"/>
        <v>11032.67207536</v>
      </c>
      <c r="CB95" s="479"/>
    </row>
    <row r="96" spans="1:80" s="450" customFormat="1" ht="15.75" customHeight="1">
      <c r="A96" s="435">
        <v>1</v>
      </c>
      <c r="B96" s="435">
        <v>1</v>
      </c>
      <c r="C96" s="435" t="s">
        <v>3265</v>
      </c>
      <c r="D96" s="436">
        <f>VLOOKUP(C96,ISS!A:B,2,0)</f>
        <v>0.04</v>
      </c>
      <c r="E96" s="437">
        <f>IF(D96=2%,5.99%,IF(D96=2.5%,6.55%,IF(D96=3%,7.12%,IF(D96=3.5%,7.7%,IF(D96=4%,8.28%,IF(D96=5%,9.46%))))))</f>
        <v>8.2799999999999999E-2</v>
      </c>
      <c r="F96" s="438">
        <v>64</v>
      </c>
      <c r="G96" s="439">
        <v>12404</v>
      </c>
      <c r="H96" s="440" t="s">
        <v>3998</v>
      </c>
      <c r="I96" s="435" t="s">
        <v>3848</v>
      </c>
      <c r="J96" s="102" t="s">
        <v>3521</v>
      </c>
      <c r="K96" s="435" t="str">
        <f t="shared" si="38"/>
        <v>Montes ClarosVIGILANTE ARMADO - 12X36 DIURNO</v>
      </c>
      <c r="L96" s="441" t="s">
        <v>3875</v>
      </c>
      <c r="M96" s="441"/>
      <c r="N96" s="102"/>
      <c r="O96" s="102"/>
      <c r="P96" s="102"/>
      <c r="Q96" s="442">
        <f>VLOOKUP('BANCO DADOS-CUSTO TOTAL'!$K96,PARAMETROS!$E:AX,3,0)</f>
        <v>1602.86</v>
      </c>
      <c r="R96" s="442">
        <f>VLOOKUP('BANCO DADOS-CUSTO TOTAL'!$K96,PARAMETROS!$E:AY,4,0)</f>
        <v>0</v>
      </c>
      <c r="S96" s="442">
        <f>VLOOKUP('BANCO DADOS-CUSTO TOTAL'!$K96,PARAMETROS!$E:AZ,5,0)</f>
        <v>480.85799999999995</v>
      </c>
      <c r="T96" s="442">
        <f>VLOOKUP('BANCO DADOS-CUSTO TOTAL'!$K96,PARAMETROS!$E:BA,6,0)</f>
        <v>0</v>
      </c>
      <c r="U96" s="442">
        <f>VLOOKUP('BANCO DADOS-CUSTO TOTAL'!$K96,PARAMETROS!$E:BB,7,0)</f>
        <v>0</v>
      </c>
      <c r="V96" s="442">
        <f>VLOOKUP('BANCO DADOS-CUSTO TOTAL'!$K96,PARAMETROS!$E:BC,8,0)</f>
        <v>0</v>
      </c>
      <c r="W96" s="442">
        <f>VLOOKUP('BANCO DADOS-CUSTO TOTAL'!$K96,PARAMETROS!$E:BD,9,0)</f>
        <v>146.80740454545455</v>
      </c>
      <c r="X96" s="442">
        <f>VLOOKUP('BANCO DADOS-CUSTO TOTAL'!$K96,PARAMETROS!$E:BE,10,0)</f>
        <v>47.357227272727279</v>
      </c>
      <c r="Y96" s="443">
        <f t="shared" ref="Y96:Y99" si="115">TRUNC(SUM(Q96:X96),2)</f>
        <v>2277.88</v>
      </c>
      <c r="Z96" s="456"/>
      <c r="AA96" s="444">
        <v>30</v>
      </c>
      <c r="AB96" s="445">
        <f>IF(J96="EFETIVO",IF(AND(L96="",M96=""),$M$5,IF(AND(L96&lt;&gt;"",M96&lt;&gt;"",MONTH(L96)=MONTH(M96),YEAR(L96)=YEAR(M96)),M96-L96+1,IF(AND(L96&lt;&gt;"",M96&lt;&gt;"",MONTH(L96)&lt;&gt;MONTH(M96)),DAY(M96),IF(AND(L96="",M96&lt;&gt;"",MONTH($H$5)=MONTH(M96),YEAR(M96)=YEAR($H$5)),M96-$K$5+1,IF(AND(L96&lt;&gt;"",M96="",MONTH($K$5)=MONTH(L96),YEAR($K$5)=YEAR(L96)),30-DAY(L96)+1,$M$5))))),0)</f>
        <v>30</v>
      </c>
      <c r="AC96" s="446">
        <f>(Y96/30)*(AA96-Z96)</f>
        <v>2277.88</v>
      </c>
      <c r="AD96" s="447">
        <f>Y96</f>
        <v>2277.88</v>
      </c>
      <c r="AE96" s="447">
        <f>IF(AND(J96="EFETIVO",N96="FÉRIAS"),AD96,IF(J96="EFETIVO",AC96,0))</f>
        <v>2277.88</v>
      </c>
      <c r="AF96" s="443">
        <f>IF(J96="EFETIVO",VLOOKUP(K96,PARAMETROS!$E:AX,11,0),0)</f>
        <v>112.9</v>
      </c>
      <c r="AG96" s="443">
        <f>VLOOKUP(H96,'VA E VT - APOIO.LIMPEZA'!F:AX,14,0)</f>
        <v>223.06049999999999</v>
      </c>
      <c r="AH96" s="443">
        <f>VLOOKUP($H96,'VA E VT - APOIO.LIMPEZA'!$F:AY,20,0)</f>
        <v>18.528400000000005</v>
      </c>
      <c r="AI96" s="443">
        <f>IF($J96="EFETIVO",VLOOKUP($K96,PARAMETROS!$E:BA,14,0),0)</f>
        <v>91.08</v>
      </c>
      <c r="AJ96" s="443">
        <f>IF($J96="EFETIVO",VLOOKUP($K96,PARAMETROS!$E:BB,15,0),0)</f>
        <v>17.03</v>
      </c>
      <c r="AK96" s="443"/>
      <c r="AL96" s="443"/>
      <c r="AM96" s="443"/>
      <c r="AN96" s="443"/>
      <c r="AO96" s="448">
        <f t="shared" ref="AO96:AO99" si="116">SUM(AF96:AN96)</f>
        <v>462.59890000000007</v>
      </c>
      <c r="AP96" s="443">
        <f>IF($J96="EFETIVO",VLOOKUP($K96,PARAMETROS!$E:BH,20,0),0)</f>
        <v>62.37</v>
      </c>
      <c r="AQ96" s="446"/>
      <c r="AR96" s="443">
        <f>IF($J96="EFETIVO",VLOOKUP($K96,PARAMETROS!$E:BJ,22,0),0)</f>
        <v>58.53</v>
      </c>
      <c r="AS96" s="446"/>
      <c r="AT96" s="448">
        <f t="shared" ref="AT96:AT99" si="117">(AP96+AQ96+AR96+AS96)</f>
        <v>120.9</v>
      </c>
      <c r="AU96" s="448">
        <f>$AU$10*AC96</f>
        <v>838.25984000000005</v>
      </c>
      <c r="AV96" s="448">
        <f t="shared" ref="AV96:BB99" si="118">IF($J96="EFETIVO",$Y96*AV$10,0)</f>
        <v>4.1001840000000005</v>
      </c>
      <c r="AW96" s="448">
        <f t="shared" si="118"/>
        <v>11.3894</v>
      </c>
      <c r="AX96" s="448">
        <f t="shared" si="118"/>
        <v>0.91115200000000007</v>
      </c>
      <c r="AY96" s="448">
        <f t="shared" si="118"/>
        <v>0.45557600000000004</v>
      </c>
      <c r="AZ96" s="448">
        <f t="shared" si="118"/>
        <v>7.9725800000000007</v>
      </c>
      <c r="BA96" s="448">
        <f t="shared" si="118"/>
        <v>2.9339094400000003</v>
      </c>
      <c r="BB96" s="448">
        <f t="shared" si="118"/>
        <v>3.8723960000000002</v>
      </c>
      <c r="BC96" s="448">
        <f t="shared" ref="BC96:BC99" si="119">TRUNC(SUM(AW96:BB96),2)</f>
        <v>27.53</v>
      </c>
      <c r="BD96" s="448">
        <f t="shared" ref="BD96:BH99" si="120">IF($J96="EFETIVO",$Y96*BD$10,0)</f>
        <v>31.662531999999999</v>
      </c>
      <c r="BE96" s="448">
        <f t="shared" si="120"/>
        <v>19.134191999999999</v>
      </c>
      <c r="BF96" s="448">
        <f t="shared" si="120"/>
        <v>7.517004</v>
      </c>
      <c r="BG96" s="448">
        <f t="shared" si="120"/>
        <v>0</v>
      </c>
      <c r="BH96" s="448">
        <f t="shared" si="120"/>
        <v>21.459451904000002</v>
      </c>
      <c r="BI96" s="448">
        <f t="shared" ref="BI96:BI99" si="121">TRUNC(SUM(BD96:BH96),2)</f>
        <v>79.77</v>
      </c>
      <c r="BJ96" s="448">
        <f>TRUNC((BI96+BC96+AV96+AU96),2)</f>
        <v>949.66</v>
      </c>
      <c r="BK96" s="448">
        <f>IF($N96="FÉRIAS",$AD96*$BK$10,IF($AB96&gt;=15,$AD96*$BK$10,0))</f>
        <v>189.74740400000002</v>
      </c>
      <c r="BL96" s="448">
        <f>IF($N96="FÉRIAS",$AD96*$BL$10,IF($AB96&gt;=15,$AD96*$BL$10,0))</f>
        <v>253.07246800000001</v>
      </c>
      <c r="BM96" s="448">
        <f>$BM$10*BK96</f>
        <v>69.827044672</v>
      </c>
      <c r="BN96" s="448">
        <f>$BN$10*BL96</f>
        <v>93.130668224000004</v>
      </c>
      <c r="BO96" s="448">
        <f>$BO$10*AE96</f>
        <v>97.94883999999999</v>
      </c>
      <c r="BP96" s="448"/>
      <c r="BQ96" s="448">
        <f t="shared" ref="BQ96:BQ99" si="122">TRUNC(SUM(BK96:BP96),2)</f>
        <v>703.72</v>
      </c>
      <c r="BR96" s="448">
        <f t="shared" ref="BR96:BR99" si="123">TRUNC((BJ96+BQ96),2)</f>
        <v>1653.38</v>
      </c>
      <c r="BS96" s="448">
        <f t="shared" ref="BS96:BT99" si="124">IF($J96="EFETIVO",BS$10,0)</f>
        <v>288.66000000000003</v>
      </c>
      <c r="BT96" s="448">
        <f t="shared" si="124"/>
        <v>346.26</v>
      </c>
      <c r="BU96" s="448">
        <f>((AC96+AO96+AT96+BJ96+BS96+BT96)*E96)</f>
        <v>368.12539692000001</v>
      </c>
      <c r="BV96" s="448">
        <f>BQ96*E96</f>
        <v>58.268016000000003</v>
      </c>
      <c r="BW96" s="448">
        <f>SUM(BU96:BV96)</f>
        <v>426.39341292</v>
      </c>
      <c r="BX96" s="448">
        <f>BS96+BT96+BW96</f>
        <v>1061.31341292</v>
      </c>
      <c r="BY96" s="448">
        <f t="shared" ref="BY96:BY99" si="125">(AC96+AO96+AT96+BJ96+BX96)</f>
        <v>4872.3523129200003</v>
      </c>
      <c r="BZ96" s="448">
        <f>BQ96</f>
        <v>703.72</v>
      </c>
      <c r="CA96" s="448">
        <f>BY96+BZ96</f>
        <v>5576.0723129200005</v>
      </c>
      <c r="CB96" s="449"/>
    </row>
    <row r="97" spans="1:80" s="450" customFormat="1" ht="15.75" customHeight="1">
      <c r="A97" s="435">
        <v>1</v>
      </c>
      <c r="B97" s="435">
        <v>1</v>
      </c>
      <c r="C97" s="435" t="s">
        <v>3265</v>
      </c>
      <c r="D97" s="436">
        <f>VLOOKUP(C97,ISS!A:B,2,0)</f>
        <v>0.04</v>
      </c>
      <c r="E97" s="437">
        <f>IF(D97=2%,5.99%,IF(D97=2.5%,6.55%,IF(D97=3%,7.12%,IF(D97=3.5%,7.7%,IF(D97=4%,8.28%,IF(D97=5%,9.46%))))))</f>
        <v>8.2799999999999999E-2</v>
      </c>
      <c r="F97" s="438">
        <v>65</v>
      </c>
      <c r="G97" s="439">
        <v>12405</v>
      </c>
      <c r="H97" s="440" t="s">
        <v>3999</v>
      </c>
      <c r="I97" s="435" t="s">
        <v>3848</v>
      </c>
      <c r="J97" s="102" t="s">
        <v>3521</v>
      </c>
      <c r="K97" s="435" t="str">
        <f>CONCATENATE(C97,I97)</f>
        <v>Montes ClarosVIGILANTE ARMADO - 12X36 DIURNO</v>
      </c>
      <c r="L97" s="441" t="s">
        <v>3875</v>
      </c>
      <c r="M97" s="441"/>
      <c r="N97" s="102"/>
      <c r="O97" s="102"/>
      <c r="P97" s="102"/>
      <c r="Q97" s="442">
        <f>VLOOKUP('BANCO DADOS-CUSTO TOTAL'!$K97,PARAMETROS!$E:AX,3,0)</f>
        <v>1602.86</v>
      </c>
      <c r="R97" s="442">
        <f>VLOOKUP('BANCO DADOS-CUSTO TOTAL'!$K97,PARAMETROS!$E:AY,4,0)</f>
        <v>0</v>
      </c>
      <c r="S97" s="442">
        <f>VLOOKUP('BANCO DADOS-CUSTO TOTAL'!$K97,PARAMETROS!$E:AZ,5,0)</f>
        <v>480.85799999999995</v>
      </c>
      <c r="T97" s="442">
        <f>VLOOKUP('BANCO DADOS-CUSTO TOTAL'!$K97,PARAMETROS!$E:BA,6,0)</f>
        <v>0</v>
      </c>
      <c r="U97" s="442">
        <f>VLOOKUP('BANCO DADOS-CUSTO TOTAL'!$K97,PARAMETROS!$E:BB,7,0)</f>
        <v>0</v>
      </c>
      <c r="V97" s="442">
        <f>VLOOKUP('BANCO DADOS-CUSTO TOTAL'!$K97,PARAMETROS!$E:BC,8,0)</f>
        <v>0</v>
      </c>
      <c r="W97" s="442">
        <f>VLOOKUP('BANCO DADOS-CUSTO TOTAL'!$K97,PARAMETROS!$E:BD,9,0)</f>
        <v>146.80740454545455</v>
      </c>
      <c r="X97" s="442">
        <f>VLOOKUP('BANCO DADOS-CUSTO TOTAL'!$K97,PARAMETROS!$E:BE,10,0)</f>
        <v>47.357227272727279</v>
      </c>
      <c r="Y97" s="443">
        <f t="shared" si="115"/>
        <v>2277.88</v>
      </c>
      <c r="Z97" s="456"/>
      <c r="AA97" s="444">
        <v>30</v>
      </c>
      <c r="AB97" s="445">
        <f>IF(J97="EFETIVO",IF(AND(L97="",M97=""),$M$5,IF(AND(L97&lt;&gt;"",M97&lt;&gt;"",MONTH(L97)=MONTH(M97),YEAR(L97)=YEAR(M97)),M97-L97+1,IF(AND(L97&lt;&gt;"",M97&lt;&gt;"",MONTH(L97)&lt;&gt;MONTH(M97)),DAY(M97),IF(AND(L97="",M97&lt;&gt;"",MONTH($H$5)=MONTH(M97),YEAR(M97)=YEAR($H$5)),M97-$K$5+1,IF(AND(L97&lt;&gt;"",M97="",MONTH($K$5)=MONTH(L97),YEAR($K$5)=YEAR(L97)),30-DAY(L97)+1,$M$5))))),0)</f>
        <v>30</v>
      </c>
      <c r="AC97" s="446">
        <f>(Y97/30)*(AA97-Z97)</f>
        <v>2277.88</v>
      </c>
      <c r="AD97" s="447">
        <f>Y97</f>
        <v>2277.88</v>
      </c>
      <c r="AE97" s="447">
        <f>IF(AND(J97="EFETIVO",N97="FÉRIAS"),AD97,IF(J97="EFETIVO",AC97,0))</f>
        <v>2277.88</v>
      </c>
      <c r="AF97" s="443">
        <f>IF(J97="EFETIVO",VLOOKUP(K97,PARAMETROS!$E:AX,11,0),0)</f>
        <v>112.9</v>
      </c>
      <c r="AG97" s="443">
        <f>VLOOKUP(H97,'VA E VT - APOIO.LIMPEZA'!F:AX,14,0)</f>
        <v>223.06049999999999</v>
      </c>
      <c r="AH97" s="443">
        <f>VLOOKUP($H97,'VA E VT - APOIO.LIMPEZA'!$F:AY,20,0)</f>
        <v>18.528400000000005</v>
      </c>
      <c r="AI97" s="443">
        <f>IF($J97="EFETIVO",VLOOKUP($K97,PARAMETROS!$E:BA,14,0),0)</f>
        <v>91.08</v>
      </c>
      <c r="AJ97" s="443">
        <f>IF($J97="EFETIVO",VLOOKUP($K97,PARAMETROS!$E:BB,15,0),0)</f>
        <v>17.03</v>
      </c>
      <c r="AK97" s="443"/>
      <c r="AL97" s="443"/>
      <c r="AM97" s="443"/>
      <c r="AN97" s="443"/>
      <c r="AO97" s="448">
        <f t="shared" si="116"/>
        <v>462.59890000000007</v>
      </c>
      <c r="AP97" s="443">
        <f>IF($J97="EFETIVO",VLOOKUP($K97,PARAMETROS!$E:BH,20,0),0)</f>
        <v>62.37</v>
      </c>
      <c r="AQ97" s="446"/>
      <c r="AR97" s="443">
        <f>IF($J97="EFETIVO",VLOOKUP($K97,PARAMETROS!$E:BJ,22,0),0)</f>
        <v>58.53</v>
      </c>
      <c r="AS97" s="446"/>
      <c r="AT97" s="448">
        <f t="shared" si="117"/>
        <v>120.9</v>
      </c>
      <c r="AU97" s="448">
        <f>$AU$10*AC97</f>
        <v>838.25984000000005</v>
      </c>
      <c r="AV97" s="448">
        <f t="shared" si="118"/>
        <v>4.1001840000000005</v>
      </c>
      <c r="AW97" s="448">
        <f t="shared" si="118"/>
        <v>11.3894</v>
      </c>
      <c r="AX97" s="448">
        <f t="shared" si="118"/>
        <v>0.91115200000000007</v>
      </c>
      <c r="AY97" s="448">
        <f t="shared" si="118"/>
        <v>0.45557600000000004</v>
      </c>
      <c r="AZ97" s="448">
        <f t="shared" si="118"/>
        <v>7.9725800000000007</v>
      </c>
      <c r="BA97" s="448">
        <f t="shared" si="118"/>
        <v>2.9339094400000003</v>
      </c>
      <c r="BB97" s="448">
        <f t="shared" si="118"/>
        <v>3.8723960000000002</v>
      </c>
      <c r="BC97" s="448">
        <f t="shared" si="119"/>
        <v>27.53</v>
      </c>
      <c r="BD97" s="448">
        <f t="shared" si="120"/>
        <v>31.662531999999999</v>
      </c>
      <c r="BE97" s="448">
        <f t="shared" si="120"/>
        <v>19.134191999999999</v>
      </c>
      <c r="BF97" s="448">
        <f t="shared" si="120"/>
        <v>7.517004</v>
      </c>
      <c r="BG97" s="448">
        <f t="shared" si="120"/>
        <v>0</v>
      </c>
      <c r="BH97" s="448">
        <f t="shared" si="120"/>
        <v>21.459451904000002</v>
      </c>
      <c r="BI97" s="448">
        <f t="shared" si="121"/>
        <v>79.77</v>
      </c>
      <c r="BJ97" s="448">
        <f t="shared" ref="BJ97:BJ99" si="126">TRUNC((BI97+BC97+AV97+AU97),2)</f>
        <v>949.66</v>
      </c>
      <c r="BK97" s="448">
        <f>IF($N97="FÉRIAS",$AD97*$BK$10,IF($AB97&gt;=15,$AD97*$BK$10,0))</f>
        <v>189.74740400000002</v>
      </c>
      <c r="BL97" s="448">
        <f>IF($N97="FÉRIAS",$AD97*$BL$10,IF($AB97&gt;=15,$AD97*$BL$10,0))</f>
        <v>253.07246800000001</v>
      </c>
      <c r="BM97" s="448">
        <f>$BM$10*BK97</f>
        <v>69.827044672</v>
      </c>
      <c r="BN97" s="448">
        <f>$BN$10*BL97</f>
        <v>93.130668224000004</v>
      </c>
      <c r="BO97" s="448">
        <f>$BO$10*AE97</f>
        <v>97.94883999999999</v>
      </c>
      <c r="BP97" s="448"/>
      <c r="BQ97" s="448">
        <f t="shared" si="122"/>
        <v>703.72</v>
      </c>
      <c r="BR97" s="448">
        <f t="shared" si="123"/>
        <v>1653.38</v>
      </c>
      <c r="BS97" s="448">
        <f t="shared" si="124"/>
        <v>288.66000000000003</v>
      </c>
      <c r="BT97" s="448">
        <f t="shared" si="124"/>
        <v>346.26</v>
      </c>
      <c r="BU97" s="448">
        <f>((AC97+AO97+AT97+BJ97+BS97+BT97)*E97)</f>
        <v>368.12539692000001</v>
      </c>
      <c r="BV97" s="448">
        <f>BQ97*E97</f>
        <v>58.268016000000003</v>
      </c>
      <c r="BW97" s="448">
        <f>SUM(BU97:BV97)</f>
        <v>426.39341292</v>
      </c>
      <c r="BX97" s="448">
        <f>BS97+BT97+BW97</f>
        <v>1061.31341292</v>
      </c>
      <c r="BY97" s="448">
        <f t="shared" si="125"/>
        <v>4872.3523129200003</v>
      </c>
      <c r="BZ97" s="448">
        <f>BQ97</f>
        <v>703.72</v>
      </c>
      <c r="CA97" s="448">
        <f>BY97+BZ97</f>
        <v>5576.0723129200005</v>
      </c>
      <c r="CB97" s="449"/>
    </row>
    <row r="98" spans="1:80" s="450" customFormat="1" ht="15.75" customHeight="1">
      <c r="A98" s="435">
        <v>1</v>
      </c>
      <c r="B98" s="435">
        <v>1</v>
      </c>
      <c r="C98" s="435" t="s">
        <v>3265</v>
      </c>
      <c r="D98" s="436">
        <f>VLOOKUP(C98,ISS!A:B,2,0)</f>
        <v>0.04</v>
      </c>
      <c r="E98" s="437">
        <f>IF(D98=2%,5.99%,IF(D98=2.5%,6.55%,IF(D98=3%,7.12%,IF(D98=3.5%,7.7%,IF(D98=4%,8.28%,IF(D98=5%,9.46%))))))</f>
        <v>8.2799999999999999E-2</v>
      </c>
      <c r="F98" s="438">
        <v>66</v>
      </c>
      <c r="G98" s="439">
        <v>12406</v>
      </c>
      <c r="H98" s="440" t="s">
        <v>4000</v>
      </c>
      <c r="I98" s="435" t="s">
        <v>3850</v>
      </c>
      <c r="J98" s="102" t="s">
        <v>3521</v>
      </c>
      <c r="K98" s="435" t="str">
        <f t="shared" si="38"/>
        <v>Montes ClarosVIGILANTE ARMADO - 12X36 NOTURNO</v>
      </c>
      <c r="L98" s="441" t="s">
        <v>3875</v>
      </c>
      <c r="M98" s="441"/>
      <c r="N98" s="102"/>
      <c r="O98" s="102"/>
      <c r="P98" s="102"/>
      <c r="Q98" s="442">
        <f>VLOOKUP('BANCO DADOS-CUSTO TOTAL'!$K98,PARAMETROS!$E:AX,3,0)</f>
        <v>1602.86</v>
      </c>
      <c r="R98" s="442">
        <f>VLOOKUP('BANCO DADOS-CUSTO TOTAL'!$K98,PARAMETROS!$E:AY,4,0)</f>
        <v>0</v>
      </c>
      <c r="S98" s="442">
        <f>VLOOKUP('BANCO DADOS-CUSTO TOTAL'!$K98,PARAMETROS!$E:AZ,5,0)</f>
        <v>480.85799999999995</v>
      </c>
      <c r="T98" s="442">
        <f>VLOOKUP('BANCO DADOS-CUSTO TOTAL'!$K98,PARAMETROS!$E:BA,6,0)</f>
        <v>411.06073272727275</v>
      </c>
      <c r="U98" s="442">
        <f>VLOOKUP('BANCO DADOS-CUSTO TOTAL'!$K98,PARAMETROS!$E:BB,7,0)</f>
        <v>0</v>
      </c>
      <c r="V98" s="442">
        <f>VLOOKUP('BANCO DADOS-CUSTO TOTAL'!$K98,PARAMETROS!$E:BC,8,0)</f>
        <v>0</v>
      </c>
      <c r="W98" s="442">
        <f>VLOOKUP('BANCO DADOS-CUSTO TOTAL'!$K98,PARAMETROS!$E:BD,9,0)</f>
        <v>175.76850162396693</v>
      </c>
      <c r="X98" s="442">
        <f>VLOOKUP('BANCO DADOS-CUSTO TOTAL'!$K98,PARAMETROS!$E:BE,10,0)</f>
        <v>47.357227272727279</v>
      </c>
      <c r="Y98" s="443">
        <f t="shared" si="115"/>
        <v>2717.9</v>
      </c>
      <c r="Z98" s="456"/>
      <c r="AA98" s="444">
        <v>30</v>
      </c>
      <c r="AB98" s="445">
        <f>IF(J98="EFETIVO",IF(AND(L98="",M98=""),$M$5,IF(AND(L98&lt;&gt;"",M98&lt;&gt;"",MONTH(L98)=MONTH(M98),YEAR(L98)=YEAR(M98)),M98-L98+1,IF(AND(L98&lt;&gt;"",M98&lt;&gt;"",MONTH(L98)&lt;&gt;MONTH(M98)),DAY(M98),IF(AND(L98="",M98&lt;&gt;"",MONTH($H$5)=MONTH(M98),YEAR(M98)=YEAR($H$5)),M98-$K$5+1,IF(AND(L98&lt;&gt;"",M98="",MONTH($K$5)=MONTH(L98),YEAR($K$5)=YEAR(L98)),30-DAY(L98)+1,$M$5))))),0)</f>
        <v>30</v>
      </c>
      <c r="AC98" s="446">
        <f>(Y98/30)*(AA98-Z98)</f>
        <v>2717.9</v>
      </c>
      <c r="AD98" s="447">
        <f>Y98</f>
        <v>2717.9</v>
      </c>
      <c r="AE98" s="447">
        <f>IF(AND(J98="EFETIVO",N98="FÉRIAS"),AD98,IF(J98="EFETIVO",AC98,0))</f>
        <v>2717.9</v>
      </c>
      <c r="AF98" s="443">
        <f>IF(J98="EFETIVO",VLOOKUP(K98,PARAMETROS!$E:AX,11,0),0)</f>
        <v>112.9</v>
      </c>
      <c r="AG98" s="443">
        <f>VLOOKUP(H98,'VA E VT - APOIO.LIMPEZA'!F:AX,14,0)</f>
        <v>223.06049999999999</v>
      </c>
      <c r="AH98" s="443">
        <f>VLOOKUP($H98,'VA E VT - APOIO.LIMPEZA'!$F:AY,20,0)</f>
        <v>18.528400000000005</v>
      </c>
      <c r="AI98" s="443">
        <f>IF($J98="EFETIVO",VLOOKUP($K98,PARAMETROS!$E:BA,14,0),0)</f>
        <v>91.08</v>
      </c>
      <c r="AJ98" s="443">
        <f>IF($J98="EFETIVO",VLOOKUP($K98,PARAMETROS!$E:BB,15,0),0)</f>
        <v>17.03</v>
      </c>
      <c r="AK98" s="443"/>
      <c r="AL98" s="443"/>
      <c r="AM98" s="443"/>
      <c r="AN98" s="443"/>
      <c r="AO98" s="448">
        <f t="shared" si="116"/>
        <v>462.59890000000007</v>
      </c>
      <c r="AP98" s="443">
        <f>IF($J98="EFETIVO",VLOOKUP($K98,PARAMETROS!$E:BH,20,0),0)</f>
        <v>62.37</v>
      </c>
      <c r="AQ98" s="446"/>
      <c r="AR98" s="443">
        <f>IF($J98="EFETIVO",VLOOKUP($K98,PARAMETROS!$E:BJ,22,0),0)</f>
        <v>58.53</v>
      </c>
      <c r="AS98" s="446"/>
      <c r="AT98" s="448">
        <f t="shared" si="117"/>
        <v>120.9</v>
      </c>
      <c r="AU98" s="448">
        <f>$AU$10*AC98</f>
        <v>1000.1872</v>
      </c>
      <c r="AV98" s="448">
        <f t="shared" si="118"/>
        <v>4.89222</v>
      </c>
      <c r="AW98" s="448">
        <f t="shared" si="118"/>
        <v>13.589500000000001</v>
      </c>
      <c r="AX98" s="448">
        <f t="shared" si="118"/>
        <v>1.0871600000000001</v>
      </c>
      <c r="AY98" s="448">
        <f t="shared" si="118"/>
        <v>0.54358000000000006</v>
      </c>
      <c r="AZ98" s="448">
        <f t="shared" si="118"/>
        <v>9.5126500000000007</v>
      </c>
      <c r="BA98" s="448">
        <f t="shared" si="118"/>
        <v>3.5006552000000002</v>
      </c>
      <c r="BB98" s="448">
        <f t="shared" si="118"/>
        <v>4.6204299999999998</v>
      </c>
      <c r="BC98" s="448">
        <f t="shared" si="119"/>
        <v>32.85</v>
      </c>
      <c r="BD98" s="448">
        <f t="shared" si="120"/>
        <v>37.77881</v>
      </c>
      <c r="BE98" s="448">
        <f t="shared" si="120"/>
        <v>22.830359999999999</v>
      </c>
      <c r="BF98" s="448">
        <f t="shared" si="120"/>
        <v>8.9690700000000003</v>
      </c>
      <c r="BG98" s="448">
        <f t="shared" si="120"/>
        <v>0</v>
      </c>
      <c r="BH98" s="448">
        <f t="shared" si="120"/>
        <v>25.604792320000001</v>
      </c>
      <c r="BI98" s="448">
        <f t="shared" si="121"/>
        <v>95.18</v>
      </c>
      <c r="BJ98" s="448">
        <f t="shared" si="126"/>
        <v>1133.0999999999999</v>
      </c>
      <c r="BK98" s="448">
        <f>IF($N98="FÉRIAS",$AD98*$BK$10,IF($AB98&gt;=15,$AD98*$BK$10,0))</f>
        <v>226.40107</v>
      </c>
      <c r="BL98" s="448">
        <f>IF($N98="FÉRIAS",$AD98*$BL$10,IF($AB98&gt;=15,$AD98*$BL$10,0))</f>
        <v>301.95869000000005</v>
      </c>
      <c r="BM98" s="448">
        <f>$BM$10*BK98</f>
        <v>83.315593759999999</v>
      </c>
      <c r="BN98" s="448">
        <f>$BN$10*BL98</f>
        <v>111.12079792000002</v>
      </c>
      <c r="BO98" s="448">
        <f>$BO$10*AE98</f>
        <v>116.86969999999999</v>
      </c>
      <c r="BP98" s="448"/>
      <c r="BQ98" s="448">
        <f t="shared" si="122"/>
        <v>839.66</v>
      </c>
      <c r="BR98" s="448">
        <f t="shared" si="123"/>
        <v>1972.76</v>
      </c>
      <c r="BS98" s="448">
        <f t="shared" si="124"/>
        <v>288.66000000000003</v>
      </c>
      <c r="BT98" s="448">
        <f t="shared" si="124"/>
        <v>346.26</v>
      </c>
      <c r="BU98" s="448">
        <f>((AC98+AO98+AT98+BJ98+BS98+BT98)*E98)</f>
        <v>419.74788492000005</v>
      </c>
      <c r="BV98" s="448">
        <f>BQ98*E98</f>
        <v>69.523848000000001</v>
      </c>
      <c r="BW98" s="448">
        <f>SUM(BU98:BV98)</f>
        <v>489.27173292000003</v>
      </c>
      <c r="BX98" s="448">
        <f>BS98+BT98+BW98</f>
        <v>1124.19173292</v>
      </c>
      <c r="BY98" s="448">
        <f t="shared" si="125"/>
        <v>5558.690632920001</v>
      </c>
      <c r="BZ98" s="448">
        <f>BQ98</f>
        <v>839.66</v>
      </c>
      <c r="CA98" s="448">
        <f>BY98+BZ98</f>
        <v>6398.3506329200009</v>
      </c>
      <c r="CB98" s="449"/>
    </row>
    <row r="99" spans="1:80" s="450" customFormat="1" ht="15.75" customHeight="1">
      <c r="A99" s="435">
        <v>1</v>
      </c>
      <c r="B99" s="435">
        <v>1</v>
      </c>
      <c r="C99" s="435" t="s">
        <v>3265</v>
      </c>
      <c r="D99" s="436">
        <f>VLOOKUP(C99,ISS!A:B,2,0)</f>
        <v>0.04</v>
      </c>
      <c r="E99" s="437">
        <f>IF(D99=2%,5.99%,IF(D99=2.5%,6.55%,IF(D99=3%,7.12%,IF(D99=3.5%,7.7%,IF(D99=4%,8.28%,IF(D99=5%,9.46%))))))</f>
        <v>8.2799999999999999E-2</v>
      </c>
      <c r="F99" s="438">
        <v>67</v>
      </c>
      <c r="G99" s="439">
        <v>12407</v>
      </c>
      <c r="H99" s="440" t="s">
        <v>4001</v>
      </c>
      <c r="I99" s="435" t="s">
        <v>3850</v>
      </c>
      <c r="J99" s="102" t="s">
        <v>3521</v>
      </c>
      <c r="K99" s="435" t="str">
        <f>CONCATENATE(C99,I99)</f>
        <v>Montes ClarosVIGILANTE ARMADO - 12X36 NOTURNO</v>
      </c>
      <c r="L99" s="441" t="s">
        <v>3875</v>
      </c>
      <c r="M99" s="441"/>
      <c r="N99" s="102"/>
      <c r="O99" s="102"/>
      <c r="P99" s="102"/>
      <c r="Q99" s="442">
        <f>VLOOKUP('BANCO DADOS-CUSTO TOTAL'!$K99,PARAMETROS!$E:AX,3,0)</f>
        <v>1602.86</v>
      </c>
      <c r="R99" s="442">
        <f>VLOOKUP('BANCO DADOS-CUSTO TOTAL'!$K99,PARAMETROS!$E:AY,4,0)</f>
        <v>0</v>
      </c>
      <c r="S99" s="442">
        <f>VLOOKUP('BANCO DADOS-CUSTO TOTAL'!$K99,PARAMETROS!$E:AZ,5,0)</f>
        <v>480.85799999999995</v>
      </c>
      <c r="T99" s="442">
        <f>VLOOKUP('BANCO DADOS-CUSTO TOTAL'!$K99,PARAMETROS!$E:BA,6,0)</f>
        <v>411.06073272727275</v>
      </c>
      <c r="U99" s="442">
        <f>VLOOKUP('BANCO DADOS-CUSTO TOTAL'!$K99,PARAMETROS!$E:BB,7,0)</f>
        <v>0</v>
      </c>
      <c r="V99" s="442">
        <f>VLOOKUP('BANCO DADOS-CUSTO TOTAL'!$K99,PARAMETROS!$E:BC,8,0)</f>
        <v>0</v>
      </c>
      <c r="W99" s="442">
        <f>VLOOKUP('BANCO DADOS-CUSTO TOTAL'!$K99,PARAMETROS!$E:BD,9,0)</f>
        <v>175.76850162396693</v>
      </c>
      <c r="X99" s="442">
        <f>VLOOKUP('BANCO DADOS-CUSTO TOTAL'!$K99,PARAMETROS!$E:BE,10,0)</f>
        <v>47.357227272727279</v>
      </c>
      <c r="Y99" s="443">
        <f t="shared" si="115"/>
        <v>2717.9</v>
      </c>
      <c r="Z99" s="456"/>
      <c r="AA99" s="444">
        <v>30</v>
      </c>
      <c r="AB99" s="445">
        <f>IF(J99="EFETIVO",IF(AND(L99="",M99=""),$M$5,IF(AND(L99&lt;&gt;"",M99&lt;&gt;"",MONTH(L99)=MONTH(M99),YEAR(L99)=YEAR(M99)),M99-L99+1,IF(AND(L99&lt;&gt;"",M99&lt;&gt;"",MONTH(L99)&lt;&gt;MONTH(M99)),DAY(M99),IF(AND(L99="",M99&lt;&gt;"",MONTH($H$5)=MONTH(M99),YEAR(M99)=YEAR($H$5)),M99-$K$5+1,IF(AND(L99&lt;&gt;"",M99="",MONTH($K$5)=MONTH(L99),YEAR($K$5)=YEAR(L99)),30-DAY(L99)+1,$M$5))))),0)</f>
        <v>30</v>
      </c>
      <c r="AC99" s="446">
        <f>(Y99/30)*(AA99-Z99)</f>
        <v>2717.9</v>
      </c>
      <c r="AD99" s="447">
        <f>Y99</f>
        <v>2717.9</v>
      </c>
      <c r="AE99" s="447">
        <f>IF(AND(J99="EFETIVO",N99="FÉRIAS"),AD99,IF(J99="EFETIVO",AC99,0))</f>
        <v>2717.9</v>
      </c>
      <c r="AF99" s="443">
        <f>IF(J99="EFETIVO",VLOOKUP(K99,PARAMETROS!$E:AX,11,0),0)</f>
        <v>112.9</v>
      </c>
      <c r="AG99" s="443">
        <f>VLOOKUP(H99,'VA E VT - APOIO.LIMPEZA'!F:AX,14,0)</f>
        <v>223.06049999999999</v>
      </c>
      <c r="AH99" s="443">
        <f>VLOOKUP($H99,'VA E VT - APOIO.LIMPEZA'!$F:AY,20,0)</f>
        <v>18.528400000000005</v>
      </c>
      <c r="AI99" s="443">
        <f>IF($J99="EFETIVO",VLOOKUP($K99,PARAMETROS!$E:BA,14,0),0)</f>
        <v>91.08</v>
      </c>
      <c r="AJ99" s="443">
        <f>IF($J99="EFETIVO",VLOOKUP($K99,PARAMETROS!$E:BB,15,0),0)</f>
        <v>17.03</v>
      </c>
      <c r="AK99" s="443"/>
      <c r="AL99" s="443"/>
      <c r="AM99" s="443"/>
      <c r="AN99" s="443"/>
      <c r="AO99" s="448">
        <f t="shared" si="116"/>
        <v>462.59890000000007</v>
      </c>
      <c r="AP99" s="443">
        <f>IF($J99="EFETIVO",VLOOKUP($K99,PARAMETROS!$E:BH,20,0),0)</f>
        <v>62.37</v>
      </c>
      <c r="AQ99" s="446"/>
      <c r="AR99" s="443">
        <f>IF($J99="EFETIVO",VLOOKUP($K99,PARAMETROS!$E:BJ,22,0),0)</f>
        <v>58.53</v>
      </c>
      <c r="AS99" s="446"/>
      <c r="AT99" s="448">
        <f t="shared" si="117"/>
        <v>120.9</v>
      </c>
      <c r="AU99" s="448">
        <f>$AU$10*AC99</f>
        <v>1000.1872</v>
      </c>
      <c r="AV99" s="448">
        <f t="shared" si="118"/>
        <v>4.89222</v>
      </c>
      <c r="AW99" s="448">
        <f t="shared" si="118"/>
        <v>13.589500000000001</v>
      </c>
      <c r="AX99" s="448">
        <f t="shared" si="118"/>
        <v>1.0871600000000001</v>
      </c>
      <c r="AY99" s="448">
        <f t="shared" si="118"/>
        <v>0.54358000000000006</v>
      </c>
      <c r="AZ99" s="448">
        <f t="shared" si="118"/>
        <v>9.5126500000000007</v>
      </c>
      <c r="BA99" s="448">
        <f t="shared" si="118"/>
        <v>3.5006552000000002</v>
      </c>
      <c r="BB99" s="448">
        <f t="shared" si="118"/>
        <v>4.6204299999999998</v>
      </c>
      <c r="BC99" s="448">
        <f t="shared" si="119"/>
        <v>32.85</v>
      </c>
      <c r="BD99" s="448">
        <f t="shared" si="120"/>
        <v>37.77881</v>
      </c>
      <c r="BE99" s="448">
        <f t="shared" si="120"/>
        <v>22.830359999999999</v>
      </c>
      <c r="BF99" s="448">
        <f t="shared" si="120"/>
        <v>8.9690700000000003</v>
      </c>
      <c r="BG99" s="448">
        <f t="shared" si="120"/>
        <v>0</v>
      </c>
      <c r="BH99" s="448">
        <f t="shared" si="120"/>
        <v>25.604792320000001</v>
      </c>
      <c r="BI99" s="448">
        <f t="shared" si="121"/>
        <v>95.18</v>
      </c>
      <c r="BJ99" s="448">
        <f t="shared" si="126"/>
        <v>1133.0999999999999</v>
      </c>
      <c r="BK99" s="448">
        <f>IF($N99="FÉRIAS",$AD99*$BK$10,IF($AB99&gt;=15,$AD99*$BK$10,0))</f>
        <v>226.40107</v>
      </c>
      <c r="BL99" s="448">
        <f>IF($N99="FÉRIAS",$AD99*$BL$10,IF($AB99&gt;=15,$AD99*$BL$10,0))</f>
        <v>301.95869000000005</v>
      </c>
      <c r="BM99" s="448">
        <f>$BM$10*BK99</f>
        <v>83.315593759999999</v>
      </c>
      <c r="BN99" s="448">
        <f>$BN$10*BL99</f>
        <v>111.12079792000002</v>
      </c>
      <c r="BO99" s="448">
        <f>$BO$10*AE99</f>
        <v>116.86969999999999</v>
      </c>
      <c r="BP99" s="448"/>
      <c r="BQ99" s="448">
        <f t="shared" si="122"/>
        <v>839.66</v>
      </c>
      <c r="BR99" s="448">
        <f t="shared" si="123"/>
        <v>1972.76</v>
      </c>
      <c r="BS99" s="448">
        <f t="shared" si="124"/>
        <v>288.66000000000003</v>
      </c>
      <c r="BT99" s="448">
        <f t="shared" si="124"/>
        <v>346.26</v>
      </c>
      <c r="BU99" s="448">
        <f>((AC99+AO99+AT99+BJ99+BS99+BT99)*E99)</f>
        <v>419.74788492000005</v>
      </c>
      <c r="BV99" s="448">
        <f>BQ99*E99</f>
        <v>69.523848000000001</v>
      </c>
      <c r="BW99" s="448">
        <f>SUM(BU99:BV99)</f>
        <v>489.27173292000003</v>
      </c>
      <c r="BX99" s="448">
        <f>BS99+BT99+BW99</f>
        <v>1124.19173292</v>
      </c>
      <c r="BY99" s="448">
        <f t="shared" si="125"/>
        <v>5558.690632920001</v>
      </c>
      <c r="BZ99" s="448">
        <f>BQ99</f>
        <v>839.66</v>
      </c>
      <c r="CA99" s="448">
        <f>BY99+BZ99</f>
        <v>6398.3506329200009</v>
      </c>
      <c r="CB99" s="449"/>
    </row>
    <row r="100" spans="1:80" s="480" customFormat="1" ht="15.75" customHeight="1">
      <c r="A100" s="462"/>
      <c r="B100" s="462"/>
      <c r="C100" s="462" t="s">
        <v>3899</v>
      </c>
      <c r="D100" s="463"/>
      <c r="E100" s="464"/>
      <c r="F100" s="465"/>
      <c r="G100" s="466"/>
      <c r="H100" s="467"/>
      <c r="I100" s="462"/>
      <c r="J100" s="468"/>
      <c r="K100" s="462"/>
      <c r="L100" s="469"/>
      <c r="M100" s="469"/>
      <c r="N100" s="468"/>
      <c r="O100" s="468"/>
      <c r="P100" s="468"/>
      <c r="Q100" s="470"/>
      <c r="R100" s="470"/>
      <c r="S100" s="470"/>
      <c r="T100" s="470"/>
      <c r="U100" s="470"/>
      <c r="V100" s="470"/>
      <c r="W100" s="470"/>
      <c r="X100" s="470"/>
      <c r="Y100" s="471"/>
      <c r="Z100" s="472"/>
      <c r="AA100" s="473"/>
      <c r="AB100" s="474"/>
      <c r="AC100" s="475"/>
      <c r="AD100" s="476"/>
      <c r="AE100" s="476"/>
      <c r="AF100" s="478">
        <f t="shared" ref="AF100:BZ100" si="127">SUBTOTAL(9,AF96:AF99)</f>
        <v>451.6</v>
      </c>
      <c r="AG100" s="477">
        <f t="shared" si="127"/>
        <v>892.24199999999996</v>
      </c>
      <c r="AH100" s="477">
        <f t="shared" si="127"/>
        <v>74.113600000000019</v>
      </c>
      <c r="AI100" s="477">
        <f t="shared" si="127"/>
        <v>364.32</v>
      </c>
      <c r="AJ100" s="477">
        <f t="shared" si="127"/>
        <v>68.12</v>
      </c>
      <c r="AK100" s="477">
        <f t="shared" si="127"/>
        <v>0</v>
      </c>
      <c r="AL100" s="477">
        <f t="shared" si="127"/>
        <v>0</v>
      </c>
      <c r="AM100" s="477">
        <f t="shared" si="127"/>
        <v>0</v>
      </c>
      <c r="AN100" s="477">
        <f t="shared" si="127"/>
        <v>0</v>
      </c>
      <c r="AO100" s="477">
        <f t="shared" si="127"/>
        <v>1850.3956000000003</v>
      </c>
      <c r="AP100" s="477">
        <f t="shared" si="127"/>
        <v>249.48</v>
      </c>
      <c r="AQ100" s="477">
        <f t="shared" si="127"/>
        <v>0</v>
      </c>
      <c r="AR100" s="477">
        <f t="shared" si="127"/>
        <v>234.12</v>
      </c>
      <c r="AS100" s="477">
        <f t="shared" si="127"/>
        <v>0</v>
      </c>
      <c r="AT100" s="477">
        <f t="shared" si="127"/>
        <v>483.6</v>
      </c>
      <c r="AU100" s="477">
        <f t="shared" si="127"/>
        <v>3676.89408</v>
      </c>
      <c r="AV100" s="477">
        <f t="shared" si="127"/>
        <v>17.984808000000001</v>
      </c>
      <c r="AW100" s="477">
        <f t="shared" si="127"/>
        <v>49.957800000000006</v>
      </c>
      <c r="AX100" s="477">
        <f t="shared" si="127"/>
        <v>3.9966240000000006</v>
      </c>
      <c r="AY100" s="477">
        <f t="shared" si="127"/>
        <v>1.9983120000000003</v>
      </c>
      <c r="AZ100" s="477">
        <f t="shared" si="127"/>
        <v>34.970460000000003</v>
      </c>
      <c r="BA100" s="477">
        <f t="shared" si="127"/>
        <v>12.869129280000001</v>
      </c>
      <c r="BB100" s="477">
        <f t="shared" si="127"/>
        <v>16.985651999999998</v>
      </c>
      <c r="BC100" s="477">
        <f t="shared" si="127"/>
        <v>120.75999999999999</v>
      </c>
      <c r="BD100" s="477">
        <f t="shared" si="127"/>
        <v>138.88268399999998</v>
      </c>
      <c r="BE100" s="477">
        <f t="shared" si="127"/>
        <v>83.929103999999995</v>
      </c>
      <c r="BF100" s="477">
        <f t="shared" si="127"/>
        <v>32.972148000000004</v>
      </c>
      <c r="BG100" s="477">
        <f t="shared" si="127"/>
        <v>0</v>
      </c>
      <c r="BH100" s="477">
        <f t="shared" si="127"/>
        <v>94.128488448000013</v>
      </c>
      <c r="BI100" s="477">
        <f t="shared" si="127"/>
        <v>349.9</v>
      </c>
      <c r="BJ100" s="477">
        <f t="shared" si="127"/>
        <v>4165.5200000000004</v>
      </c>
      <c r="BK100" s="477">
        <f t="shared" si="127"/>
        <v>832.29694800000004</v>
      </c>
      <c r="BL100" s="477">
        <f t="shared" si="127"/>
        <v>1110.062316</v>
      </c>
      <c r="BM100" s="477">
        <f t="shared" si="127"/>
        <v>306.28527686400002</v>
      </c>
      <c r="BN100" s="477">
        <f t="shared" si="127"/>
        <v>408.50293228800007</v>
      </c>
      <c r="BO100" s="477">
        <f t="shared" si="127"/>
        <v>429.63707999999997</v>
      </c>
      <c r="BP100" s="477">
        <f t="shared" si="127"/>
        <v>0</v>
      </c>
      <c r="BQ100" s="477">
        <f t="shared" si="127"/>
        <v>3086.7599999999998</v>
      </c>
      <c r="BR100" s="477">
        <f t="shared" si="127"/>
        <v>7252.2800000000007</v>
      </c>
      <c r="BS100" s="477">
        <f t="shared" si="127"/>
        <v>1154.6400000000001</v>
      </c>
      <c r="BT100" s="477">
        <f t="shared" si="127"/>
        <v>1385.04</v>
      </c>
      <c r="BU100" s="477">
        <f t="shared" si="127"/>
        <v>1575.7465636800002</v>
      </c>
      <c r="BV100" s="477">
        <f t="shared" si="127"/>
        <v>255.58372800000001</v>
      </c>
      <c r="BW100" s="477">
        <f t="shared" si="127"/>
        <v>1831.3302916800001</v>
      </c>
      <c r="BX100" s="477">
        <f t="shared" si="127"/>
        <v>4371.0102916800006</v>
      </c>
      <c r="BY100" s="477">
        <f t="shared" si="127"/>
        <v>20862.085891680003</v>
      </c>
      <c r="BZ100" s="477">
        <f t="shared" si="127"/>
        <v>3086.7599999999998</v>
      </c>
      <c r="CA100" s="477">
        <f>SUBTOTAL(9,CA96:CA99)</f>
        <v>23948.845891680001</v>
      </c>
      <c r="CB100" s="479"/>
    </row>
    <row r="101" spans="1:80" s="450" customFormat="1" ht="15.75" customHeight="1">
      <c r="A101" s="435">
        <v>1</v>
      </c>
      <c r="B101" s="435">
        <v>1</v>
      </c>
      <c r="C101" s="435" t="s">
        <v>3267</v>
      </c>
      <c r="D101" s="436">
        <f>VLOOKUP(C101,ISS!A:B,2,0)</f>
        <v>0.02</v>
      </c>
      <c r="E101" s="437">
        <f>IF(D101=2%,5.99%,IF(D101=2.5%,6.55%,IF(D101=3%,7.12%,IF(D101=3.5%,7.7%,IF(D101=4%,8.28%,IF(D101=5%,9.46%))))))</f>
        <v>5.9900000000000002E-2</v>
      </c>
      <c r="F101" s="438">
        <v>68</v>
      </c>
      <c r="G101" s="439">
        <v>12408</v>
      </c>
      <c r="H101" s="440" t="s">
        <v>4002</v>
      </c>
      <c r="I101" s="435" t="s">
        <v>3848</v>
      </c>
      <c r="J101" s="102" t="s">
        <v>3521</v>
      </c>
      <c r="K101" s="435" t="str">
        <f t="shared" si="38"/>
        <v>Nova LimaVIGILANTE ARMADO - 12X36 DIURNO</v>
      </c>
      <c r="L101" s="441" t="s">
        <v>3875</v>
      </c>
      <c r="M101" s="441"/>
      <c r="N101" s="102"/>
      <c r="O101" s="102"/>
      <c r="P101" s="102"/>
      <c r="Q101" s="442">
        <f>VLOOKUP('BANCO DADOS-CUSTO TOTAL'!$K101,PARAMETROS!$E:AX,3,0)</f>
        <v>1602.86</v>
      </c>
      <c r="R101" s="442">
        <f>VLOOKUP('BANCO DADOS-CUSTO TOTAL'!$K101,PARAMETROS!$E:AY,4,0)</f>
        <v>0</v>
      </c>
      <c r="S101" s="442">
        <f>VLOOKUP('BANCO DADOS-CUSTO TOTAL'!$K101,PARAMETROS!$E:AZ,5,0)</f>
        <v>480.85799999999995</v>
      </c>
      <c r="T101" s="442">
        <f>VLOOKUP('BANCO DADOS-CUSTO TOTAL'!$K101,PARAMETROS!$E:BA,6,0)</f>
        <v>0</v>
      </c>
      <c r="U101" s="442">
        <f>VLOOKUP('BANCO DADOS-CUSTO TOTAL'!$K101,PARAMETROS!$E:BB,7,0)</f>
        <v>0</v>
      </c>
      <c r="V101" s="442">
        <f>VLOOKUP('BANCO DADOS-CUSTO TOTAL'!$K101,PARAMETROS!$E:BC,8,0)</f>
        <v>0</v>
      </c>
      <c r="W101" s="442">
        <f>VLOOKUP('BANCO DADOS-CUSTO TOTAL'!$K101,PARAMETROS!$E:BD,9,0)</f>
        <v>146.80740454545455</v>
      </c>
      <c r="X101" s="442">
        <f>VLOOKUP('BANCO DADOS-CUSTO TOTAL'!$K101,PARAMETROS!$E:BE,10,0)</f>
        <v>47.357227272727279</v>
      </c>
      <c r="Y101" s="443">
        <f t="shared" ref="Y101:Y102" si="128">TRUNC(SUM(Q101:X101),2)</f>
        <v>2277.88</v>
      </c>
      <c r="Z101" s="456"/>
      <c r="AA101" s="444">
        <v>30</v>
      </c>
      <c r="AB101" s="445">
        <f>IF(J101="EFETIVO",IF(AND(L101="",M101=""),$M$5,IF(AND(L101&lt;&gt;"",M101&lt;&gt;"",MONTH(L101)=MONTH(M101),YEAR(L101)=YEAR(M101)),M101-L101+1,IF(AND(L101&lt;&gt;"",M101&lt;&gt;"",MONTH(L101)&lt;&gt;MONTH(M101)),DAY(M101),IF(AND(L101="",M101&lt;&gt;"",MONTH($H$5)=MONTH(M101),YEAR(M101)=YEAR($H$5)),M101-$K$5+1,IF(AND(L101&lt;&gt;"",M101="",MONTH($K$5)=MONTH(L101),YEAR($K$5)=YEAR(L101)),30-DAY(L101)+1,$M$5))))),0)</f>
        <v>30</v>
      </c>
      <c r="AC101" s="446">
        <f>(Y101/30)*(AA101-Z101)</f>
        <v>2277.88</v>
      </c>
      <c r="AD101" s="447">
        <f>Y101</f>
        <v>2277.88</v>
      </c>
      <c r="AE101" s="447">
        <f>IF(AND(J101="EFETIVO",N101="FÉRIAS"),AD101,IF(J101="EFETIVO",AC101,0))</f>
        <v>2277.88</v>
      </c>
      <c r="AF101" s="443">
        <f>IF(J101="EFETIVO",VLOOKUP(K101,PARAMETROS!$E:AX,11,0),0)</f>
        <v>112.9</v>
      </c>
      <c r="AG101" s="443">
        <f>VLOOKUP(H101,'VA E VT - APOIO.LIMPEZA'!F:AX,14,0)</f>
        <v>223.06049999999999</v>
      </c>
      <c r="AH101" s="443">
        <f>VLOOKUP($H101,'VA E VT - APOIO.LIMPEZA'!$F:AY,20,0)</f>
        <v>18.528400000000005</v>
      </c>
      <c r="AI101" s="443">
        <f>IF($J101="EFETIVO",VLOOKUP($K101,PARAMETROS!$E:BA,14,0),0)</f>
        <v>91.08</v>
      </c>
      <c r="AJ101" s="443">
        <f>IF($J101="EFETIVO",VLOOKUP($K101,PARAMETROS!$E:BB,15,0),0)</f>
        <v>17.03</v>
      </c>
      <c r="AK101" s="443"/>
      <c r="AL101" s="443"/>
      <c r="AM101" s="443"/>
      <c r="AN101" s="443"/>
      <c r="AO101" s="448">
        <f t="shared" ref="AO101:AO102" si="129">SUM(AF101:AN101)</f>
        <v>462.59890000000007</v>
      </c>
      <c r="AP101" s="443">
        <f>IF($J101="EFETIVO",VLOOKUP($K101,PARAMETROS!$E:BH,20,0),0)</f>
        <v>62.37</v>
      </c>
      <c r="AQ101" s="446"/>
      <c r="AR101" s="443">
        <f>IF($J101="EFETIVO",VLOOKUP($K101,PARAMETROS!$E:BJ,22,0),0)</f>
        <v>58.53</v>
      </c>
      <c r="AS101" s="446"/>
      <c r="AT101" s="448">
        <f t="shared" ref="AT101:AT102" si="130">(AP101+AQ101+AR101+AS101)</f>
        <v>120.9</v>
      </c>
      <c r="AU101" s="448">
        <f>$AU$10*AC101</f>
        <v>838.25984000000005</v>
      </c>
      <c r="AV101" s="448">
        <f t="shared" ref="AV101:BB102" si="131">IF($J101="EFETIVO",$Y101*AV$10,0)</f>
        <v>4.1001840000000005</v>
      </c>
      <c r="AW101" s="448">
        <f t="shared" si="131"/>
        <v>11.3894</v>
      </c>
      <c r="AX101" s="448">
        <f t="shared" si="131"/>
        <v>0.91115200000000007</v>
      </c>
      <c r="AY101" s="448">
        <f t="shared" si="131"/>
        <v>0.45557600000000004</v>
      </c>
      <c r="AZ101" s="448">
        <f t="shared" si="131"/>
        <v>7.9725800000000007</v>
      </c>
      <c r="BA101" s="448">
        <f t="shared" si="131"/>
        <v>2.9339094400000003</v>
      </c>
      <c r="BB101" s="448">
        <f t="shared" si="131"/>
        <v>3.8723960000000002</v>
      </c>
      <c r="BC101" s="448">
        <f t="shared" ref="BC101:BC102" si="132">TRUNC(SUM(AW101:BB101),2)</f>
        <v>27.53</v>
      </c>
      <c r="BD101" s="448">
        <f t="shared" ref="BD101:BH102" si="133">IF($J101="EFETIVO",$Y101*BD$10,0)</f>
        <v>31.662531999999999</v>
      </c>
      <c r="BE101" s="448">
        <f t="shared" si="133"/>
        <v>19.134191999999999</v>
      </c>
      <c r="BF101" s="448">
        <f t="shared" si="133"/>
        <v>7.517004</v>
      </c>
      <c r="BG101" s="448">
        <f t="shared" si="133"/>
        <v>0</v>
      </c>
      <c r="BH101" s="448">
        <f t="shared" si="133"/>
        <v>21.459451904000002</v>
      </c>
      <c r="BI101" s="448">
        <f t="shared" ref="BI101:BI102" si="134">TRUNC(SUM(BD101:BH101),2)</f>
        <v>79.77</v>
      </c>
      <c r="BJ101" s="448">
        <f t="shared" ref="BJ101:BJ102" si="135">TRUNC((BI101+BC101+AV101+AU101),2)</f>
        <v>949.66</v>
      </c>
      <c r="BK101" s="448">
        <f>IF($N101="FÉRIAS",$AD101*$BK$10,IF($AB101&gt;=15,$AD101*$BK$10,0))</f>
        <v>189.74740400000002</v>
      </c>
      <c r="BL101" s="448">
        <f>IF($N101="FÉRIAS",$AD101*$BL$10,IF($AB101&gt;=15,$AD101*$BL$10,0))</f>
        <v>253.07246800000001</v>
      </c>
      <c r="BM101" s="448">
        <f>$BM$10*BK101</f>
        <v>69.827044672</v>
      </c>
      <c r="BN101" s="448">
        <f>$BN$10*BL101</f>
        <v>93.130668224000004</v>
      </c>
      <c r="BO101" s="448">
        <f>$BO$10*AE101</f>
        <v>97.94883999999999</v>
      </c>
      <c r="BP101" s="448"/>
      <c r="BQ101" s="448">
        <f t="shared" ref="BQ101:BQ102" si="136">TRUNC(SUM(BK101:BP101),2)</f>
        <v>703.72</v>
      </c>
      <c r="BR101" s="448">
        <f t="shared" ref="BR101:BR102" si="137">TRUNC((BJ101+BQ101),2)</f>
        <v>1653.38</v>
      </c>
      <c r="BS101" s="448">
        <f>IF($J101="EFETIVO",BS$10,0)</f>
        <v>288.66000000000003</v>
      </c>
      <c r="BT101" s="448">
        <f>IF($J101="EFETIVO",BT$10,0)</f>
        <v>346.26</v>
      </c>
      <c r="BU101" s="448">
        <f>((AC101+AO101+AT101+BJ101+BS101+BT101)*E101)</f>
        <v>266.31293811000006</v>
      </c>
      <c r="BV101" s="448">
        <f>BQ101*E101</f>
        <v>42.152828</v>
      </c>
      <c r="BW101" s="448">
        <f>SUM(BU101:BV101)</f>
        <v>308.46576611000006</v>
      </c>
      <c r="BX101" s="448">
        <f>BS101+BT101+BW101</f>
        <v>943.38576611000008</v>
      </c>
      <c r="BY101" s="448">
        <f t="shared" ref="BY101:BY102" si="138">(AC101+AO101+AT101+BJ101+BX101)</f>
        <v>4754.4246661100005</v>
      </c>
      <c r="BZ101" s="448">
        <f>BQ101</f>
        <v>703.72</v>
      </c>
      <c r="CA101" s="448">
        <f>BY101+BZ101</f>
        <v>5458.1446661100008</v>
      </c>
      <c r="CB101" s="449"/>
    </row>
    <row r="102" spans="1:80" s="450" customFormat="1" ht="15.75" customHeight="1">
      <c r="A102" s="435">
        <v>1</v>
      </c>
      <c r="B102" s="435">
        <v>1</v>
      </c>
      <c r="C102" s="435" t="s">
        <v>3267</v>
      </c>
      <c r="D102" s="436">
        <f>VLOOKUP(C102,ISS!A:B,2,0)</f>
        <v>0.02</v>
      </c>
      <c r="E102" s="437">
        <f>IF(D102=2%,5.99%,IF(D102=2.5%,6.55%,IF(D102=3%,7.12%,IF(D102=3.5%,7.7%,IF(D102=4%,8.28%,IF(D102=5%,9.46%))))))</f>
        <v>5.9900000000000002E-2</v>
      </c>
      <c r="F102" s="438">
        <v>69</v>
      </c>
      <c r="G102" s="439">
        <v>12409</v>
      </c>
      <c r="H102" s="440" t="s">
        <v>4003</v>
      </c>
      <c r="I102" s="435" t="s">
        <v>3848</v>
      </c>
      <c r="J102" s="102" t="s">
        <v>3521</v>
      </c>
      <c r="K102" s="435" t="str">
        <f>CONCATENATE(C102,I102)</f>
        <v>Nova LimaVIGILANTE ARMADO - 12X36 DIURNO</v>
      </c>
      <c r="L102" s="441" t="s">
        <v>3875</v>
      </c>
      <c r="M102" s="441"/>
      <c r="N102" s="102"/>
      <c r="O102" s="102"/>
      <c r="P102" s="102"/>
      <c r="Q102" s="442">
        <f>VLOOKUP('BANCO DADOS-CUSTO TOTAL'!$K102,PARAMETROS!$E:AX,3,0)</f>
        <v>1602.86</v>
      </c>
      <c r="R102" s="442">
        <f>VLOOKUP('BANCO DADOS-CUSTO TOTAL'!$K102,PARAMETROS!$E:AY,4,0)</f>
        <v>0</v>
      </c>
      <c r="S102" s="442">
        <f>VLOOKUP('BANCO DADOS-CUSTO TOTAL'!$K102,PARAMETROS!$E:AZ,5,0)</f>
        <v>480.85799999999995</v>
      </c>
      <c r="T102" s="442">
        <f>VLOOKUP('BANCO DADOS-CUSTO TOTAL'!$K102,PARAMETROS!$E:BA,6,0)</f>
        <v>0</v>
      </c>
      <c r="U102" s="442">
        <f>VLOOKUP('BANCO DADOS-CUSTO TOTAL'!$K102,PARAMETROS!$E:BB,7,0)</f>
        <v>0</v>
      </c>
      <c r="V102" s="442">
        <f>VLOOKUP('BANCO DADOS-CUSTO TOTAL'!$K102,PARAMETROS!$E:BC,8,0)</f>
        <v>0</v>
      </c>
      <c r="W102" s="442">
        <f>VLOOKUP('BANCO DADOS-CUSTO TOTAL'!$K102,PARAMETROS!$E:BD,9,0)</f>
        <v>146.80740454545455</v>
      </c>
      <c r="X102" s="442">
        <f>VLOOKUP('BANCO DADOS-CUSTO TOTAL'!$K102,PARAMETROS!$E:BE,10,0)</f>
        <v>47.357227272727279</v>
      </c>
      <c r="Y102" s="443">
        <f t="shared" si="128"/>
        <v>2277.88</v>
      </c>
      <c r="Z102" s="456"/>
      <c r="AA102" s="444">
        <v>30</v>
      </c>
      <c r="AB102" s="445">
        <f>IF(J102="EFETIVO",IF(AND(L102="",M102=""),$M$5,IF(AND(L102&lt;&gt;"",M102&lt;&gt;"",MONTH(L102)=MONTH(M102),YEAR(L102)=YEAR(M102)),M102-L102+1,IF(AND(L102&lt;&gt;"",M102&lt;&gt;"",MONTH(L102)&lt;&gt;MONTH(M102)),DAY(M102),IF(AND(L102="",M102&lt;&gt;"",MONTH($H$5)=MONTH(M102),YEAR(M102)=YEAR($H$5)),M102-$K$5+1,IF(AND(L102&lt;&gt;"",M102="",MONTH($K$5)=MONTH(L102),YEAR($K$5)=YEAR(L102)),30-DAY(L102)+1,$M$5))))),0)</f>
        <v>30</v>
      </c>
      <c r="AC102" s="446">
        <f>(Y102/30)*(AA102-Z102)</f>
        <v>2277.88</v>
      </c>
      <c r="AD102" s="447">
        <f>Y102</f>
        <v>2277.88</v>
      </c>
      <c r="AE102" s="447">
        <f>IF(AND(J102="EFETIVO",N102="FÉRIAS"),AD102,IF(J102="EFETIVO",AC102,0))</f>
        <v>2277.88</v>
      </c>
      <c r="AF102" s="443">
        <f>IF(J102="EFETIVO",VLOOKUP(K102,PARAMETROS!$E:AX,11,0),0)</f>
        <v>112.9</v>
      </c>
      <c r="AG102" s="443">
        <f>VLOOKUP(H102,'VA E VT - APOIO.LIMPEZA'!F:AX,14,0)</f>
        <v>223.06049999999999</v>
      </c>
      <c r="AH102" s="443">
        <f>VLOOKUP($H102,'VA E VT - APOIO.LIMPEZA'!$F:AY,20,0)</f>
        <v>18.528400000000005</v>
      </c>
      <c r="AI102" s="443">
        <f>IF($J102="EFETIVO",VLOOKUP($K102,PARAMETROS!$E:BA,14,0),0)</f>
        <v>91.08</v>
      </c>
      <c r="AJ102" s="443">
        <f>IF($J102="EFETIVO",VLOOKUP($K102,PARAMETROS!$E:BB,15,0),0)</f>
        <v>17.03</v>
      </c>
      <c r="AK102" s="443"/>
      <c r="AL102" s="443"/>
      <c r="AM102" s="443"/>
      <c r="AN102" s="443"/>
      <c r="AO102" s="448">
        <f t="shared" si="129"/>
        <v>462.59890000000007</v>
      </c>
      <c r="AP102" s="443">
        <f>IF($J102="EFETIVO",VLOOKUP($K102,PARAMETROS!$E:BH,20,0),0)</f>
        <v>62.37</v>
      </c>
      <c r="AQ102" s="446"/>
      <c r="AR102" s="443">
        <f>IF($J102="EFETIVO",VLOOKUP($K102,PARAMETROS!$E:BJ,22,0),0)</f>
        <v>58.53</v>
      </c>
      <c r="AS102" s="446"/>
      <c r="AT102" s="448">
        <f t="shared" si="130"/>
        <v>120.9</v>
      </c>
      <c r="AU102" s="448">
        <f>$AU$10*AC102</f>
        <v>838.25984000000005</v>
      </c>
      <c r="AV102" s="448">
        <f t="shared" si="131"/>
        <v>4.1001840000000005</v>
      </c>
      <c r="AW102" s="448">
        <f t="shared" si="131"/>
        <v>11.3894</v>
      </c>
      <c r="AX102" s="448">
        <f t="shared" si="131"/>
        <v>0.91115200000000007</v>
      </c>
      <c r="AY102" s="448">
        <f t="shared" si="131"/>
        <v>0.45557600000000004</v>
      </c>
      <c r="AZ102" s="448">
        <f t="shared" si="131"/>
        <v>7.9725800000000007</v>
      </c>
      <c r="BA102" s="448">
        <f t="shared" si="131"/>
        <v>2.9339094400000003</v>
      </c>
      <c r="BB102" s="448">
        <f t="shared" si="131"/>
        <v>3.8723960000000002</v>
      </c>
      <c r="BC102" s="448">
        <f t="shared" si="132"/>
        <v>27.53</v>
      </c>
      <c r="BD102" s="448">
        <f t="shared" si="133"/>
        <v>31.662531999999999</v>
      </c>
      <c r="BE102" s="448">
        <f t="shared" si="133"/>
        <v>19.134191999999999</v>
      </c>
      <c r="BF102" s="448">
        <f t="shared" si="133"/>
        <v>7.517004</v>
      </c>
      <c r="BG102" s="448">
        <f t="shared" si="133"/>
        <v>0</v>
      </c>
      <c r="BH102" s="448">
        <f t="shared" si="133"/>
        <v>21.459451904000002</v>
      </c>
      <c r="BI102" s="448">
        <f t="shared" si="134"/>
        <v>79.77</v>
      </c>
      <c r="BJ102" s="448">
        <f t="shared" si="135"/>
        <v>949.66</v>
      </c>
      <c r="BK102" s="448">
        <f>IF($N102="FÉRIAS",$AD102*$BK$10,IF($AB102&gt;=15,$AD102*$BK$10,0))</f>
        <v>189.74740400000002</v>
      </c>
      <c r="BL102" s="448">
        <f>IF($N102="FÉRIAS",$AD102*$BL$10,IF($AB102&gt;=15,$AD102*$BL$10,0))</f>
        <v>253.07246800000001</v>
      </c>
      <c r="BM102" s="448">
        <f>$BM$10*BK102</f>
        <v>69.827044672</v>
      </c>
      <c r="BN102" s="448">
        <f>$BN$10*BL102</f>
        <v>93.130668224000004</v>
      </c>
      <c r="BO102" s="448">
        <f>$BO$10*AE102</f>
        <v>97.94883999999999</v>
      </c>
      <c r="BP102" s="448"/>
      <c r="BQ102" s="448">
        <f t="shared" si="136"/>
        <v>703.72</v>
      </c>
      <c r="BR102" s="448">
        <f t="shared" si="137"/>
        <v>1653.38</v>
      </c>
      <c r="BS102" s="448">
        <f>IF($J102="EFETIVO",BS$10,0)</f>
        <v>288.66000000000003</v>
      </c>
      <c r="BT102" s="448">
        <f>IF($J102="EFETIVO",BT$10,0)</f>
        <v>346.26</v>
      </c>
      <c r="BU102" s="448">
        <f>((AC102+AO102+AT102+BJ102+BS102+BT102)*E102)</f>
        <v>266.31293811000006</v>
      </c>
      <c r="BV102" s="448">
        <f>BQ102*E102</f>
        <v>42.152828</v>
      </c>
      <c r="BW102" s="448">
        <f>SUM(BU102:BV102)</f>
        <v>308.46576611000006</v>
      </c>
      <c r="BX102" s="448">
        <f>BS102+BT102+BW102</f>
        <v>943.38576611000008</v>
      </c>
      <c r="BY102" s="448">
        <f t="shared" si="138"/>
        <v>4754.4246661100005</v>
      </c>
      <c r="BZ102" s="448">
        <f>BQ102</f>
        <v>703.72</v>
      </c>
      <c r="CA102" s="448">
        <f>BY102+BZ102</f>
        <v>5458.1446661100008</v>
      </c>
      <c r="CB102" s="449"/>
    </row>
    <row r="103" spans="1:80" s="480" customFormat="1" ht="15.75" customHeight="1">
      <c r="A103" s="462"/>
      <c r="B103" s="462"/>
      <c r="C103" s="462" t="s">
        <v>3900</v>
      </c>
      <c r="D103" s="463"/>
      <c r="E103" s="464"/>
      <c r="F103" s="465"/>
      <c r="G103" s="466"/>
      <c r="H103" s="467"/>
      <c r="I103" s="462"/>
      <c r="J103" s="468"/>
      <c r="K103" s="462"/>
      <c r="L103" s="469"/>
      <c r="M103" s="469"/>
      <c r="N103" s="468"/>
      <c r="O103" s="468"/>
      <c r="P103" s="468"/>
      <c r="Q103" s="470"/>
      <c r="R103" s="470"/>
      <c r="S103" s="470"/>
      <c r="T103" s="470"/>
      <c r="U103" s="470"/>
      <c r="V103" s="470"/>
      <c r="W103" s="470"/>
      <c r="X103" s="470"/>
      <c r="Y103" s="471"/>
      <c r="Z103" s="472"/>
      <c r="AA103" s="473"/>
      <c r="AB103" s="474"/>
      <c r="AC103" s="475"/>
      <c r="AD103" s="476"/>
      <c r="AE103" s="476"/>
      <c r="AF103" s="471">
        <f>SUBTOTAL(9,AF101:AF102)</f>
        <v>225.8</v>
      </c>
      <c r="AG103" s="471">
        <f t="shared" ref="AG103:CA103" si="139">SUBTOTAL(9,AG101:AG102)</f>
        <v>446.12099999999998</v>
      </c>
      <c r="AH103" s="471">
        <f t="shared" si="139"/>
        <v>37.05680000000001</v>
      </c>
      <c r="AI103" s="471">
        <f t="shared" si="139"/>
        <v>182.16</v>
      </c>
      <c r="AJ103" s="471">
        <f t="shared" si="139"/>
        <v>34.06</v>
      </c>
      <c r="AK103" s="471">
        <f t="shared" si="139"/>
        <v>0</v>
      </c>
      <c r="AL103" s="471">
        <f t="shared" si="139"/>
        <v>0</v>
      </c>
      <c r="AM103" s="471">
        <f t="shared" si="139"/>
        <v>0</v>
      </c>
      <c r="AN103" s="471">
        <f t="shared" si="139"/>
        <v>0</v>
      </c>
      <c r="AO103" s="471">
        <f t="shared" si="139"/>
        <v>925.19780000000014</v>
      </c>
      <c r="AP103" s="471">
        <f t="shared" si="139"/>
        <v>124.74</v>
      </c>
      <c r="AQ103" s="471">
        <f t="shared" si="139"/>
        <v>0</v>
      </c>
      <c r="AR103" s="471">
        <f t="shared" si="139"/>
        <v>117.06</v>
      </c>
      <c r="AS103" s="471">
        <f t="shared" si="139"/>
        <v>0</v>
      </c>
      <c r="AT103" s="471">
        <f t="shared" si="139"/>
        <v>241.8</v>
      </c>
      <c r="AU103" s="471">
        <f t="shared" si="139"/>
        <v>1676.5196800000001</v>
      </c>
      <c r="AV103" s="471">
        <f t="shared" si="139"/>
        <v>8.200368000000001</v>
      </c>
      <c r="AW103" s="471">
        <f t="shared" si="139"/>
        <v>22.7788</v>
      </c>
      <c r="AX103" s="471">
        <f t="shared" si="139"/>
        <v>1.8223040000000001</v>
      </c>
      <c r="AY103" s="471">
        <f t="shared" si="139"/>
        <v>0.91115200000000007</v>
      </c>
      <c r="AZ103" s="471">
        <f t="shared" si="139"/>
        <v>15.945160000000001</v>
      </c>
      <c r="BA103" s="471">
        <f t="shared" si="139"/>
        <v>5.8678188800000006</v>
      </c>
      <c r="BB103" s="471">
        <f t="shared" si="139"/>
        <v>7.7447920000000003</v>
      </c>
      <c r="BC103" s="471">
        <f t="shared" si="139"/>
        <v>55.06</v>
      </c>
      <c r="BD103" s="471">
        <f t="shared" si="139"/>
        <v>63.325063999999998</v>
      </c>
      <c r="BE103" s="471">
        <f t="shared" si="139"/>
        <v>38.268383999999998</v>
      </c>
      <c r="BF103" s="471">
        <f t="shared" si="139"/>
        <v>15.034008</v>
      </c>
      <c r="BG103" s="471">
        <f t="shared" si="139"/>
        <v>0</v>
      </c>
      <c r="BH103" s="471">
        <f t="shared" si="139"/>
        <v>42.918903808000003</v>
      </c>
      <c r="BI103" s="471">
        <f t="shared" si="139"/>
        <v>159.54</v>
      </c>
      <c r="BJ103" s="471">
        <f t="shared" si="139"/>
        <v>1899.32</v>
      </c>
      <c r="BK103" s="471">
        <f t="shared" si="139"/>
        <v>379.49480800000003</v>
      </c>
      <c r="BL103" s="471">
        <f t="shared" si="139"/>
        <v>506.14493600000003</v>
      </c>
      <c r="BM103" s="471">
        <f t="shared" si="139"/>
        <v>139.654089344</v>
      </c>
      <c r="BN103" s="471">
        <f t="shared" si="139"/>
        <v>186.26133644800001</v>
      </c>
      <c r="BO103" s="471">
        <f t="shared" si="139"/>
        <v>195.89767999999998</v>
      </c>
      <c r="BP103" s="471">
        <f t="shared" si="139"/>
        <v>0</v>
      </c>
      <c r="BQ103" s="471">
        <f t="shared" si="139"/>
        <v>1407.44</v>
      </c>
      <c r="BR103" s="471">
        <f t="shared" si="139"/>
        <v>3306.76</v>
      </c>
      <c r="BS103" s="471">
        <f t="shared" si="139"/>
        <v>577.32000000000005</v>
      </c>
      <c r="BT103" s="471">
        <f t="shared" si="139"/>
        <v>692.52</v>
      </c>
      <c r="BU103" s="471">
        <f t="shared" si="139"/>
        <v>532.62587622000012</v>
      </c>
      <c r="BV103" s="471">
        <f t="shared" si="139"/>
        <v>84.305655999999999</v>
      </c>
      <c r="BW103" s="471">
        <f t="shared" si="139"/>
        <v>616.93153222000012</v>
      </c>
      <c r="BX103" s="471">
        <f t="shared" si="139"/>
        <v>1886.7715322200002</v>
      </c>
      <c r="BY103" s="471">
        <f t="shared" si="139"/>
        <v>9508.8493322200011</v>
      </c>
      <c r="BZ103" s="471">
        <f t="shared" si="139"/>
        <v>1407.44</v>
      </c>
      <c r="CA103" s="471">
        <f t="shared" si="139"/>
        <v>10916.289332220002</v>
      </c>
      <c r="CB103" s="479"/>
    </row>
    <row r="104" spans="1:80" s="450" customFormat="1" ht="15.75" customHeight="1">
      <c r="A104" s="435">
        <v>1</v>
      </c>
      <c r="B104" s="435">
        <v>1</v>
      </c>
      <c r="C104" s="435" t="s">
        <v>3840</v>
      </c>
      <c r="D104" s="436">
        <f>VLOOKUP(C104,ISS!A:B,2,0)</f>
        <v>0.03</v>
      </c>
      <c r="E104" s="437">
        <f>IF(D104=2%,5.99%,IF(D104=2.5%,6.55%,IF(D104=3%,7.12%,IF(D104=3.5%,7.7%,IF(D104=4%,8.28%,IF(D104=5%,9.46%))))))</f>
        <v>7.1199999999999999E-2</v>
      </c>
      <c r="F104" s="438">
        <v>70</v>
      </c>
      <c r="G104" s="439">
        <v>12410</v>
      </c>
      <c r="H104" s="440" t="s">
        <v>4004</v>
      </c>
      <c r="I104" s="435" t="s">
        <v>3849</v>
      </c>
      <c r="J104" s="102" t="s">
        <v>3521</v>
      </c>
      <c r="K104" s="435" t="str">
        <f t="shared" si="38"/>
        <v>PorteirinhaVIGILANTE ARMADO - 220 H</v>
      </c>
      <c r="L104" s="441" t="s">
        <v>3875</v>
      </c>
      <c r="M104" s="441"/>
      <c r="N104" s="102"/>
      <c r="O104" s="102"/>
      <c r="P104" s="102"/>
      <c r="Q104" s="442">
        <f>VLOOKUP('BANCO DADOS-CUSTO TOTAL'!$K104,PARAMETROS!$E:AX,3,0)</f>
        <v>1602.86</v>
      </c>
      <c r="R104" s="442">
        <f>VLOOKUP('BANCO DADOS-CUSTO TOTAL'!$K104,PARAMETROS!$E:AY,4,0)</f>
        <v>0</v>
      </c>
      <c r="S104" s="442">
        <f>VLOOKUP('BANCO DADOS-CUSTO TOTAL'!$K104,PARAMETROS!$E:AZ,5,0)</f>
        <v>480.85799999999995</v>
      </c>
      <c r="T104" s="442">
        <f>VLOOKUP('BANCO DADOS-CUSTO TOTAL'!$K104,PARAMETROS!$E:BA,6,0)</f>
        <v>0</v>
      </c>
      <c r="U104" s="442">
        <f>VLOOKUP('BANCO DADOS-CUSTO TOTAL'!$K104,PARAMETROS!$E:BB,7,0)</f>
        <v>0</v>
      </c>
      <c r="V104" s="442">
        <f>VLOOKUP('BANCO DADOS-CUSTO TOTAL'!$K104,PARAMETROS!$E:BC,8,0)</f>
        <v>0</v>
      </c>
      <c r="W104" s="442">
        <f>VLOOKUP('BANCO DADOS-CUSTO TOTAL'!$K104,PARAMETROS!$E:BD,9,0)</f>
        <v>189.42890909090909</v>
      </c>
      <c r="X104" s="442">
        <f>VLOOKUP('BANCO DADOS-CUSTO TOTAL'!$K104,PARAMETROS!$E:BE,10,0)</f>
        <v>13.891453333333336</v>
      </c>
      <c r="Y104" s="443">
        <f>TRUNC(SUM(Q104:X104),2)</f>
        <v>2287.0300000000002</v>
      </c>
      <c r="Z104" s="456"/>
      <c r="AA104" s="444">
        <v>30</v>
      </c>
      <c r="AB104" s="445">
        <f>IF(J104="EFETIVO",IF(AND(L104="",M104=""),$M$5,IF(AND(L104&lt;&gt;"",M104&lt;&gt;"",MONTH(L104)=MONTH(M104),YEAR(L104)=YEAR(M104)),M104-L104+1,IF(AND(L104&lt;&gt;"",M104&lt;&gt;"",MONTH(L104)&lt;&gt;MONTH(M104)),DAY(M104),IF(AND(L104="",M104&lt;&gt;"",MONTH($H$5)=MONTH(M104),YEAR(M104)=YEAR($H$5)),M104-$K$5+1,IF(AND(L104&lt;&gt;"",M104="",MONTH($K$5)=MONTH(L104),YEAR($K$5)=YEAR(L104)),30-DAY(L104)+1,$M$5))))),0)</f>
        <v>30</v>
      </c>
      <c r="AC104" s="446">
        <f>(Y104/30)*(AA104-Z104)</f>
        <v>2287.0300000000002</v>
      </c>
      <c r="AD104" s="447">
        <f>Y104</f>
        <v>2287.0300000000002</v>
      </c>
      <c r="AE104" s="447">
        <f>IF(AND(J104="EFETIVO",N104="FÉRIAS"),AD104,IF(J104="EFETIVO",AC104,0))</f>
        <v>2287.0300000000002</v>
      </c>
      <c r="AF104" s="443">
        <f>IF(J104="EFETIVO",VLOOKUP(K104,PARAMETROS!$E:AX,11,0),0)</f>
        <v>112.9</v>
      </c>
      <c r="AG104" s="443">
        <f>VLOOKUP(H104,'VA E VT - APOIO.LIMPEZA'!F:AX,14,0)</f>
        <v>287.82</v>
      </c>
      <c r="AH104" s="443">
        <f>VLOOKUP($H104,'VA E VT - APOIO.LIMPEZA'!$F:AY,20,0)</f>
        <v>51.828400000000002</v>
      </c>
      <c r="AI104" s="443">
        <f>IF($J104="EFETIVO",VLOOKUP($K104,PARAMETROS!$E:BA,14,0),0)</f>
        <v>91.08</v>
      </c>
      <c r="AJ104" s="443">
        <f>IF($J104="EFETIVO",VLOOKUP($K104,PARAMETROS!$E:BB,15,0),0)</f>
        <v>17.03</v>
      </c>
      <c r="AK104" s="443"/>
      <c r="AL104" s="443"/>
      <c r="AM104" s="443"/>
      <c r="AN104" s="443"/>
      <c r="AO104" s="448">
        <f>SUM(AF104:AN104)</f>
        <v>560.65840000000003</v>
      </c>
      <c r="AP104" s="443">
        <f>IF($J104="EFETIVO",VLOOKUP($K104,PARAMETROS!$E:BH,20,0),0)</f>
        <v>62.37</v>
      </c>
      <c r="AQ104" s="446"/>
      <c r="AR104" s="443">
        <f>IF($J104="EFETIVO",VLOOKUP($K104,PARAMETROS!$E:BJ,22,0),0)</f>
        <v>58.53</v>
      </c>
      <c r="AS104" s="446"/>
      <c r="AT104" s="448">
        <f>(AP104+AQ104+AR104+AS104)</f>
        <v>120.9</v>
      </c>
      <c r="AU104" s="448">
        <f>$AU$10*AC104</f>
        <v>841.62704000000008</v>
      </c>
      <c r="AV104" s="448">
        <f t="shared" ref="AV104:BB104" si="140">IF($J104="EFETIVO",$Y104*AV$10,0)</f>
        <v>4.1166540000000005</v>
      </c>
      <c r="AW104" s="448">
        <f t="shared" si="140"/>
        <v>11.435150000000002</v>
      </c>
      <c r="AX104" s="448">
        <f t="shared" si="140"/>
        <v>0.91481200000000007</v>
      </c>
      <c r="AY104" s="448">
        <f t="shared" si="140"/>
        <v>0.45740600000000003</v>
      </c>
      <c r="AZ104" s="448">
        <f t="shared" si="140"/>
        <v>8.0046050000000015</v>
      </c>
      <c r="BA104" s="448">
        <f t="shared" si="140"/>
        <v>2.9456946400000006</v>
      </c>
      <c r="BB104" s="448">
        <f t="shared" si="140"/>
        <v>3.8879510000000002</v>
      </c>
      <c r="BC104" s="448">
        <f>TRUNC(SUM(AW104:BB104),2)</f>
        <v>27.64</v>
      </c>
      <c r="BD104" s="448">
        <f>IF($J104="EFETIVO",$Y104*BD$10,0)</f>
        <v>31.789717</v>
      </c>
      <c r="BE104" s="448">
        <f>IF($J104="EFETIVO",$Y104*BE$10,0)</f>
        <v>19.211052000000002</v>
      </c>
      <c r="BF104" s="448">
        <f>IF($J104="EFETIVO",$Y104*BF$10,0)</f>
        <v>7.5471990000000009</v>
      </c>
      <c r="BG104" s="448">
        <f>IF($J104="EFETIVO",$Y104*BG$10,0)</f>
        <v>0</v>
      </c>
      <c r="BH104" s="448">
        <f>IF($J104="EFETIVO",$Y104*BH$10,0)</f>
        <v>21.545652224000001</v>
      </c>
      <c r="BI104" s="448">
        <f>TRUNC(SUM(BD104:BH104),2)</f>
        <v>80.09</v>
      </c>
      <c r="BJ104" s="448">
        <f>TRUNC((BI104+BC104+AV104+AU104),2)</f>
        <v>953.47</v>
      </c>
      <c r="BK104" s="448">
        <f>IF($N104="FÉRIAS",$AD104*$BK$10,IF($AB104&gt;=15,$AD104*$BK$10,0))</f>
        <v>190.50959900000001</v>
      </c>
      <c r="BL104" s="448">
        <f>IF($N104="FÉRIAS",$AD104*$BL$10,IF($AB104&gt;=15,$AD104*$BL$10,0))</f>
        <v>254.08903300000003</v>
      </c>
      <c r="BM104" s="448">
        <f>$BM$10*BK104</f>
        <v>70.107532431999999</v>
      </c>
      <c r="BN104" s="448">
        <f>$BN$10*BL104</f>
        <v>93.504764144000006</v>
      </c>
      <c r="BO104" s="448">
        <f>$BO$10*AE104</f>
        <v>98.342290000000006</v>
      </c>
      <c r="BP104" s="448"/>
      <c r="BQ104" s="448">
        <f>TRUNC(SUM(BK104:BP104),2)</f>
        <v>706.55</v>
      </c>
      <c r="BR104" s="448">
        <f>TRUNC((BJ104+BQ104),2)</f>
        <v>1660.02</v>
      </c>
      <c r="BS104" s="448">
        <f>IF($J104="EFETIVO",BS$10,0)</f>
        <v>288.66000000000003</v>
      </c>
      <c r="BT104" s="448">
        <f>IF($J104="EFETIVO",BT$10,0)</f>
        <v>346.26</v>
      </c>
      <c r="BU104" s="448">
        <f>((AC104+AO104+AT104+BJ104+BS104+BT104)*E104)</f>
        <v>324.45686208000001</v>
      </c>
      <c r="BV104" s="448">
        <f>BQ104*E104</f>
        <v>50.306359999999998</v>
      </c>
      <c r="BW104" s="448">
        <f>SUM(BU104:BV104)</f>
        <v>374.76322207999999</v>
      </c>
      <c r="BX104" s="448">
        <f>BS104+BT104+BW104</f>
        <v>1009.6832220800001</v>
      </c>
      <c r="BY104" s="448">
        <f>(AC104+AO104+AT104+BJ104+BX104)</f>
        <v>4931.7416220799996</v>
      </c>
      <c r="BZ104" s="448">
        <f>BQ104</f>
        <v>706.55</v>
      </c>
      <c r="CA104" s="448">
        <f>BY104+BZ104</f>
        <v>5638.2916220799998</v>
      </c>
      <c r="CB104" s="449"/>
    </row>
    <row r="105" spans="1:80" s="480" customFormat="1" ht="15.75" customHeight="1">
      <c r="A105" s="462"/>
      <c r="B105" s="462"/>
      <c r="C105" s="462" t="s">
        <v>3901</v>
      </c>
      <c r="D105" s="463"/>
      <c r="E105" s="464"/>
      <c r="F105" s="465"/>
      <c r="G105" s="466"/>
      <c r="H105" s="467"/>
      <c r="I105" s="462"/>
      <c r="J105" s="468"/>
      <c r="K105" s="462"/>
      <c r="L105" s="469"/>
      <c r="M105" s="469"/>
      <c r="N105" s="468"/>
      <c r="O105" s="468"/>
      <c r="P105" s="468"/>
      <c r="Q105" s="470"/>
      <c r="R105" s="470"/>
      <c r="S105" s="470"/>
      <c r="T105" s="470"/>
      <c r="U105" s="470"/>
      <c r="V105" s="470"/>
      <c r="W105" s="470"/>
      <c r="X105" s="470"/>
      <c r="Y105" s="471"/>
      <c r="Z105" s="472"/>
      <c r="AA105" s="473"/>
      <c r="AB105" s="474"/>
      <c r="AC105" s="475"/>
      <c r="AD105" s="476"/>
      <c r="AE105" s="476"/>
      <c r="AF105" s="478">
        <f t="shared" ref="AF105:BZ105" si="141">SUBTOTAL(9,AF104)</f>
        <v>112.9</v>
      </c>
      <c r="AG105" s="477">
        <f t="shared" si="141"/>
        <v>287.82</v>
      </c>
      <c r="AH105" s="477">
        <f t="shared" si="141"/>
        <v>51.828400000000002</v>
      </c>
      <c r="AI105" s="477">
        <f t="shared" si="141"/>
        <v>91.08</v>
      </c>
      <c r="AJ105" s="477">
        <f t="shared" si="141"/>
        <v>17.03</v>
      </c>
      <c r="AK105" s="477">
        <f t="shared" si="141"/>
        <v>0</v>
      </c>
      <c r="AL105" s="477">
        <f t="shared" si="141"/>
        <v>0</v>
      </c>
      <c r="AM105" s="477">
        <f t="shared" si="141"/>
        <v>0</v>
      </c>
      <c r="AN105" s="477">
        <f t="shared" si="141"/>
        <v>0</v>
      </c>
      <c r="AO105" s="477">
        <f t="shared" si="141"/>
        <v>560.65840000000003</v>
      </c>
      <c r="AP105" s="477">
        <f t="shared" si="141"/>
        <v>62.37</v>
      </c>
      <c r="AQ105" s="477">
        <f t="shared" si="141"/>
        <v>0</v>
      </c>
      <c r="AR105" s="477">
        <f t="shared" si="141"/>
        <v>58.53</v>
      </c>
      <c r="AS105" s="477">
        <f t="shared" si="141"/>
        <v>0</v>
      </c>
      <c r="AT105" s="477">
        <f t="shared" si="141"/>
        <v>120.9</v>
      </c>
      <c r="AU105" s="477">
        <f t="shared" si="141"/>
        <v>841.62704000000008</v>
      </c>
      <c r="AV105" s="477">
        <f t="shared" si="141"/>
        <v>4.1166540000000005</v>
      </c>
      <c r="AW105" s="477">
        <f t="shared" si="141"/>
        <v>11.435150000000002</v>
      </c>
      <c r="AX105" s="477">
        <f t="shared" si="141"/>
        <v>0.91481200000000007</v>
      </c>
      <c r="AY105" s="477">
        <f t="shared" si="141"/>
        <v>0.45740600000000003</v>
      </c>
      <c r="AZ105" s="477">
        <f t="shared" si="141"/>
        <v>8.0046050000000015</v>
      </c>
      <c r="BA105" s="477">
        <f t="shared" si="141"/>
        <v>2.9456946400000006</v>
      </c>
      <c r="BB105" s="477">
        <f t="shared" si="141"/>
        <v>3.8879510000000002</v>
      </c>
      <c r="BC105" s="477">
        <f t="shared" si="141"/>
        <v>27.64</v>
      </c>
      <c r="BD105" s="477">
        <f t="shared" si="141"/>
        <v>31.789717</v>
      </c>
      <c r="BE105" s="477">
        <f t="shared" si="141"/>
        <v>19.211052000000002</v>
      </c>
      <c r="BF105" s="477">
        <f t="shared" si="141"/>
        <v>7.5471990000000009</v>
      </c>
      <c r="BG105" s="477">
        <f t="shared" si="141"/>
        <v>0</v>
      </c>
      <c r="BH105" s="477">
        <f t="shared" si="141"/>
        <v>21.545652224000001</v>
      </c>
      <c r="BI105" s="477">
        <f t="shared" si="141"/>
        <v>80.09</v>
      </c>
      <c r="BJ105" s="477">
        <f t="shared" si="141"/>
        <v>953.47</v>
      </c>
      <c r="BK105" s="477">
        <f t="shared" si="141"/>
        <v>190.50959900000001</v>
      </c>
      <c r="BL105" s="477">
        <f t="shared" si="141"/>
        <v>254.08903300000003</v>
      </c>
      <c r="BM105" s="477">
        <f t="shared" si="141"/>
        <v>70.107532431999999</v>
      </c>
      <c r="BN105" s="477">
        <f t="shared" si="141"/>
        <v>93.504764144000006</v>
      </c>
      <c r="BO105" s="477">
        <f t="shared" si="141"/>
        <v>98.342290000000006</v>
      </c>
      <c r="BP105" s="477">
        <f t="shared" si="141"/>
        <v>0</v>
      </c>
      <c r="BQ105" s="477">
        <f t="shared" si="141"/>
        <v>706.55</v>
      </c>
      <c r="BR105" s="477">
        <f t="shared" si="141"/>
        <v>1660.02</v>
      </c>
      <c r="BS105" s="477">
        <f t="shared" si="141"/>
        <v>288.66000000000003</v>
      </c>
      <c r="BT105" s="477">
        <f t="shared" si="141"/>
        <v>346.26</v>
      </c>
      <c r="BU105" s="477">
        <f t="shared" si="141"/>
        <v>324.45686208000001</v>
      </c>
      <c r="BV105" s="477">
        <f t="shared" si="141"/>
        <v>50.306359999999998</v>
      </c>
      <c r="BW105" s="477">
        <f t="shared" si="141"/>
        <v>374.76322207999999</v>
      </c>
      <c r="BX105" s="477">
        <f t="shared" si="141"/>
        <v>1009.6832220800001</v>
      </c>
      <c r="BY105" s="477">
        <f t="shared" si="141"/>
        <v>4931.7416220799996</v>
      </c>
      <c r="BZ105" s="477">
        <f t="shared" si="141"/>
        <v>706.55</v>
      </c>
      <c r="CA105" s="477">
        <f>SUBTOTAL(9,CA104)</f>
        <v>5638.2916220799998</v>
      </c>
      <c r="CB105" s="479"/>
    </row>
    <row r="106" spans="1:80" s="450" customFormat="1" ht="15.75" customHeight="1">
      <c r="A106" s="435">
        <v>1</v>
      </c>
      <c r="B106" s="435">
        <v>1</v>
      </c>
      <c r="C106" s="435" t="s">
        <v>3274</v>
      </c>
      <c r="D106" s="436">
        <f>VLOOKUP(C106,ISS!A:B,2,0)</f>
        <v>0.02</v>
      </c>
      <c r="E106" s="437">
        <f>IF(D106=2%,5.99%,IF(D106=2.5%,6.55%,IF(D106=3%,7.12%,IF(D106=3.5%,7.7%,IF(D106=4%,8.28%,IF(D106=5%,9.46%))))))</f>
        <v>5.9900000000000002E-2</v>
      </c>
      <c r="F106" s="438">
        <v>71</v>
      </c>
      <c r="G106" s="439">
        <v>12411</v>
      </c>
      <c r="H106" s="440" t="s">
        <v>4005</v>
      </c>
      <c r="I106" s="435" t="s">
        <v>3848</v>
      </c>
      <c r="J106" s="102" t="s">
        <v>3521</v>
      </c>
      <c r="K106" s="435" t="str">
        <f t="shared" si="38"/>
        <v>Pouso AlegreVIGILANTE ARMADO - 12X36 DIURNO</v>
      </c>
      <c r="L106" s="441" t="s">
        <v>3875</v>
      </c>
      <c r="M106" s="441"/>
      <c r="N106" s="102"/>
      <c r="O106" s="102"/>
      <c r="P106" s="102"/>
      <c r="Q106" s="442">
        <f>VLOOKUP('BANCO DADOS-CUSTO TOTAL'!$K106,PARAMETROS!$E:AX,3,0)</f>
        <v>1602.86</v>
      </c>
      <c r="R106" s="442">
        <f>VLOOKUP('BANCO DADOS-CUSTO TOTAL'!$K106,PARAMETROS!$E:AY,4,0)</f>
        <v>0</v>
      </c>
      <c r="S106" s="442">
        <f>VLOOKUP('BANCO DADOS-CUSTO TOTAL'!$K106,PARAMETROS!$E:AZ,5,0)</f>
        <v>480.85799999999995</v>
      </c>
      <c r="T106" s="442">
        <f>VLOOKUP('BANCO DADOS-CUSTO TOTAL'!$K106,PARAMETROS!$E:BA,6,0)</f>
        <v>0</v>
      </c>
      <c r="U106" s="442">
        <f>VLOOKUP('BANCO DADOS-CUSTO TOTAL'!$K106,PARAMETROS!$E:BB,7,0)</f>
        <v>0</v>
      </c>
      <c r="V106" s="442">
        <f>VLOOKUP('BANCO DADOS-CUSTO TOTAL'!$K106,PARAMETROS!$E:BC,8,0)</f>
        <v>0</v>
      </c>
      <c r="W106" s="442">
        <f>VLOOKUP('BANCO DADOS-CUSTO TOTAL'!$K106,PARAMETROS!$E:BD,9,0)</f>
        <v>146.80740454545455</v>
      </c>
      <c r="X106" s="442">
        <f>VLOOKUP('BANCO DADOS-CUSTO TOTAL'!$K106,PARAMETROS!$E:BE,10,0)</f>
        <v>47.357227272727279</v>
      </c>
      <c r="Y106" s="443">
        <f t="shared" ref="Y106:Y109" si="142">TRUNC(SUM(Q106:X106),2)</f>
        <v>2277.88</v>
      </c>
      <c r="Z106" s="456"/>
      <c r="AA106" s="444">
        <v>30</v>
      </c>
      <c r="AB106" s="445">
        <f>IF(J106="EFETIVO",IF(AND(L106="",M106=""),$M$5,IF(AND(L106&lt;&gt;"",M106&lt;&gt;"",MONTH(L106)=MONTH(M106),YEAR(L106)=YEAR(M106)),M106-L106+1,IF(AND(L106&lt;&gt;"",M106&lt;&gt;"",MONTH(L106)&lt;&gt;MONTH(M106)),DAY(M106),IF(AND(L106="",M106&lt;&gt;"",MONTH($H$5)=MONTH(M106),YEAR(M106)=YEAR($H$5)),M106-$K$5+1,IF(AND(L106&lt;&gt;"",M106="",MONTH($K$5)=MONTH(L106),YEAR($K$5)=YEAR(L106)),30-DAY(L106)+1,$M$5))))),0)</f>
        <v>30</v>
      </c>
      <c r="AC106" s="446">
        <f>(Y106/30)*(AA106-Z106)</f>
        <v>2277.88</v>
      </c>
      <c r="AD106" s="447">
        <f>Y106</f>
        <v>2277.88</v>
      </c>
      <c r="AE106" s="447">
        <f>IF(AND(J106="EFETIVO",N106="FÉRIAS"),AD106,IF(J106="EFETIVO",AC106,0))</f>
        <v>2277.88</v>
      </c>
      <c r="AF106" s="443">
        <f>IF(J106="EFETIVO",VLOOKUP(K106,PARAMETROS!$E:AX,11,0),0)</f>
        <v>112.9</v>
      </c>
      <c r="AG106" s="443">
        <f>VLOOKUP(H106,'VA E VT - APOIO.LIMPEZA'!F:AX,14,0)</f>
        <v>223.06049999999999</v>
      </c>
      <c r="AH106" s="443">
        <f>VLOOKUP($H106,'VA E VT - APOIO.LIMPEZA'!$F:AY,20,0)</f>
        <v>18.528400000000005</v>
      </c>
      <c r="AI106" s="443">
        <f>IF($J106="EFETIVO",VLOOKUP($K106,PARAMETROS!$E:BA,14,0),0)</f>
        <v>91.08</v>
      </c>
      <c r="AJ106" s="443">
        <f>IF($J106="EFETIVO",VLOOKUP($K106,PARAMETROS!$E:BB,15,0),0)</f>
        <v>17.03</v>
      </c>
      <c r="AK106" s="443"/>
      <c r="AL106" s="443"/>
      <c r="AM106" s="443"/>
      <c r="AN106" s="443"/>
      <c r="AO106" s="448">
        <f t="shared" ref="AO106:AO109" si="143">SUM(AF106:AN106)</f>
        <v>462.59890000000007</v>
      </c>
      <c r="AP106" s="443">
        <f>IF($J106="EFETIVO",VLOOKUP($K106,PARAMETROS!$E:BH,20,0),0)</f>
        <v>62.37</v>
      </c>
      <c r="AQ106" s="446"/>
      <c r="AR106" s="443">
        <f>IF($J106="EFETIVO",VLOOKUP($K106,PARAMETROS!$E:BJ,22,0),0)</f>
        <v>58.53</v>
      </c>
      <c r="AS106" s="446"/>
      <c r="AT106" s="448">
        <f t="shared" ref="AT106:AT109" si="144">(AP106+AQ106+AR106+AS106)</f>
        <v>120.9</v>
      </c>
      <c r="AU106" s="448">
        <f>$AU$10*AC106</f>
        <v>838.25984000000005</v>
      </c>
      <c r="AV106" s="448">
        <f t="shared" ref="AV106:BB109" si="145">IF($J106="EFETIVO",$Y106*AV$10,0)</f>
        <v>4.1001840000000005</v>
      </c>
      <c r="AW106" s="448">
        <f t="shared" si="145"/>
        <v>11.3894</v>
      </c>
      <c r="AX106" s="448">
        <f t="shared" si="145"/>
        <v>0.91115200000000007</v>
      </c>
      <c r="AY106" s="448">
        <f t="shared" si="145"/>
        <v>0.45557600000000004</v>
      </c>
      <c r="AZ106" s="448">
        <f t="shared" si="145"/>
        <v>7.9725800000000007</v>
      </c>
      <c r="BA106" s="448">
        <f t="shared" si="145"/>
        <v>2.9339094400000003</v>
      </c>
      <c r="BB106" s="448">
        <f t="shared" si="145"/>
        <v>3.8723960000000002</v>
      </c>
      <c r="BC106" s="448">
        <f t="shared" ref="BC106:BC109" si="146">TRUNC(SUM(AW106:BB106),2)</f>
        <v>27.53</v>
      </c>
      <c r="BD106" s="448">
        <f t="shared" ref="BD106:BH109" si="147">IF($J106="EFETIVO",$Y106*BD$10,0)</f>
        <v>31.662531999999999</v>
      </c>
      <c r="BE106" s="448">
        <f t="shared" si="147"/>
        <v>19.134191999999999</v>
      </c>
      <c r="BF106" s="448">
        <f t="shared" si="147"/>
        <v>7.517004</v>
      </c>
      <c r="BG106" s="448">
        <f t="shared" si="147"/>
        <v>0</v>
      </c>
      <c r="BH106" s="448">
        <f t="shared" si="147"/>
        <v>21.459451904000002</v>
      </c>
      <c r="BI106" s="448">
        <f t="shared" ref="BI106:BI109" si="148">TRUNC(SUM(BD106:BH106),2)</f>
        <v>79.77</v>
      </c>
      <c r="BJ106" s="448">
        <f t="shared" ref="BJ106:BJ109" si="149">TRUNC((BI106+BC106+AV106+AU106),2)</f>
        <v>949.66</v>
      </c>
      <c r="BK106" s="448">
        <f>IF($N106="FÉRIAS",$AD106*$BK$10,IF($AB106&gt;=15,$AD106*$BK$10,0))</f>
        <v>189.74740400000002</v>
      </c>
      <c r="BL106" s="448">
        <f>IF($N106="FÉRIAS",$AD106*$BL$10,IF($AB106&gt;=15,$AD106*$BL$10,0))</f>
        <v>253.07246800000001</v>
      </c>
      <c r="BM106" s="448">
        <f>$BM$10*BK106</f>
        <v>69.827044672</v>
      </c>
      <c r="BN106" s="448">
        <f>$BN$10*BL106</f>
        <v>93.130668224000004</v>
      </c>
      <c r="BO106" s="448">
        <f>$BO$10*AE106</f>
        <v>97.94883999999999</v>
      </c>
      <c r="BP106" s="448"/>
      <c r="BQ106" s="448">
        <f t="shared" ref="BQ106:BQ109" si="150">TRUNC(SUM(BK106:BP106),2)</f>
        <v>703.72</v>
      </c>
      <c r="BR106" s="448">
        <f t="shared" ref="BR106:BR109" si="151">TRUNC((BJ106+BQ106),2)</f>
        <v>1653.38</v>
      </c>
      <c r="BS106" s="448">
        <f t="shared" ref="BS106:BT109" si="152">IF($J106="EFETIVO",BS$10,0)</f>
        <v>288.66000000000003</v>
      </c>
      <c r="BT106" s="448">
        <f t="shared" si="152"/>
        <v>346.26</v>
      </c>
      <c r="BU106" s="448">
        <f>((AC106+AO106+AT106+BJ106+BS106+BT106)*E106)</f>
        <v>266.31293811000006</v>
      </c>
      <c r="BV106" s="448">
        <f>BQ106*E106</f>
        <v>42.152828</v>
      </c>
      <c r="BW106" s="448">
        <f>SUM(BU106:BV106)</f>
        <v>308.46576611000006</v>
      </c>
      <c r="BX106" s="448">
        <f>BS106+BT106+BW106</f>
        <v>943.38576611000008</v>
      </c>
      <c r="BY106" s="448">
        <f t="shared" ref="BY106:BY109" si="153">(AC106+AO106+AT106+BJ106+BX106)</f>
        <v>4754.4246661100005</v>
      </c>
      <c r="BZ106" s="448">
        <f>BQ106</f>
        <v>703.72</v>
      </c>
      <c r="CA106" s="448">
        <f>BY106+BZ106</f>
        <v>5458.1446661100008</v>
      </c>
      <c r="CB106" s="449"/>
    </row>
    <row r="107" spans="1:80" s="450" customFormat="1" ht="15.75" customHeight="1">
      <c r="A107" s="435">
        <v>1</v>
      </c>
      <c r="B107" s="435">
        <v>1</v>
      </c>
      <c r="C107" s="435" t="s">
        <v>3274</v>
      </c>
      <c r="D107" s="436">
        <f>VLOOKUP(C107,ISS!A:B,2,0)</f>
        <v>0.02</v>
      </c>
      <c r="E107" s="437">
        <f>IF(D107=2%,5.99%,IF(D107=2.5%,6.55%,IF(D107=3%,7.12%,IF(D107=3.5%,7.7%,IF(D107=4%,8.28%,IF(D107=5%,9.46%))))))</f>
        <v>5.9900000000000002E-2</v>
      </c>
      <c r="F107" s="438">
        <v>72</v>
      </c>
      <c r="G107" s="439">
        <v>12412</v>
      </c>
      <c r="H107" s="440" t="s">
        <v>4006</v>
      </c>
      <c r="I107" s="435" t="s">
        <v>3848</v>
      </c>
      <c r="J107" s="102" t="s">
        <v>3521</v>
      </c>
      <c r="K107" s="435" t="str">
        <f>CONCATENATE(C107,I107)</f>
        <v>Pouso AlegreVIGILANTE ARMADO - 12X36 DIURNO</v>
      </c>
      <c r="L107" s="441" t="s">
        <v>3875</v>
      </c>
      <c r="M107" s="441"/>
      <c r="N107" s="102"/>
      <c r="O107" s="102"/>
      <c r="P107" s="102"/>
      <c r="Q107" s="442">
        <f>VLOOKUP('BANCO DADOS-CUSTO TOTAL'!$K107,PARAMETROS!$E:AX,3,0)</f>
        <v>1602.86</v>
      </c>
      <c r="R107" s="442">
        <f>VLOOKUP('BANCO DADOS-CUSTO TOTAL'!$K107,PARAMETROS!$E:AY,4,0)</f>
        <v>0</v>
      </c>
      <c r="S107" s="442">
        <f>VLOOKUP('BANCO DADOS-CUSTO TOTAL'!$K107,PARAMETROS!$E:AZ,5,0)</f>
        <v>480.85799999999995</v>
      </c>
      <c r="T107" s="442">
        <f>VLOOKUP('BANCO DADOS-CUSTO TOTAL'!$K107,PARAMETROS!$E:BA,6,0)</f>
        <v>0</v>
      </c>
      <c r="U107" s="442">
        <f>VLOOKUP('BANCO DADOS-CUSTO TOTAL'!$K107,PARAMETROS!$E:BB,7,0)</f>
        <v>0</v>
      </c>
      <c r="V107" s="442">
        <f>VLOOKUP('BANCO DADOS-CUSTO TOTAL'!$K107,PARAMETROS!$E:BC,8,0)</f>
        <v>0</v>
      </c>
      <c r="W107" s="442">
        <f>VLOOKUP('BANCO DADOS-CUSTO TOTAL'!$K107,PARAMETROS!$E:BD,9,0)</f>
        <v>146.80740454545455</v>
      </c>
      <c r="X107" s="442">
        <f>VLOOKUP('BANCO DADOS-CUSTO TOTAL'!$K107,PARAMETROS!$E:BE,10,0)</f>
        <v>47.357227272727279</v>
      </c>
      <c r="Y107" s="443">
        <f t="shared" si="142"/>
        <v>2277.88</v>
      </c>
      <c r="Z107" s="456"/>
      <c r="AA107" s="444">
        <v>30</v>
      </c>
      <c r="AB107" s="445">
        <f>IF(J107="EFETIVO",IF(AND(L107="",M107=""),$M$5,IF(AND(L107&lt;&gt;"",M107&lt;&gt;"",MONTH(L107)=MONTH(M107),YEAR(L107)=YEAR(M107)),M107-L107+1,IF(AND(L107&lt;&gt;"",M107&lt;&gt;"",MONTH(L107)&lt;&gt;MONTH(M107)),DAY(M107),IF(AND(L107="",M107&lt;&gt;"",MONTH($H$5)=MONTH(M107),YEAR(M107)=YEAR($H$5)),M107-$K$5+1,IF(AND(L107&lt;&gt;"",M107="",MONTH($K$5)=MONTH(L107),YEAR($K$5)=YEAR(L107)),30-DAY(L107)+1,$M$5))))),0)</f>
        <v>30</v>
      </c>
      <c r="AC107" s="446">
        <f>(Y107/30)*(AA107-Z107)</f>
        <v>2277.88</v>
      </c>
      <c r="AD107" s="447">
        <f>Y107</f>
        <v>2277.88</v>
      </c>
      <c r="AE107" s="447">
        <f>IF(AND(J107="EFETIVO",N107="FÉRIAS"),AD107,IF(J107="EFETIVO",AC107,0))</f>
        <v>2277.88</v>
      </c>
      <c r="AF107" s="443">
        <f>IF(J107="EFETIVO",VLOOKUP(K107,PARAMETROS!$E:AX,11,0),0)</f>
        <v>112.9</v>
      </c>
      <c r="AG107" s="443">
        <f>VLOOKUP(H107,'VA E VT - APOIO.LIMPEZA'!F:AX,14,0)</f>
        <v>223.06049999999999</v>
      </c>
      <c r="AH107" s="443">
        <f>VLOOKUP($H107,'VA E VT - APOIO.LIMPEZA'!$F:AY,20,0)</f>
        <v>18.528400000000005</v>
      </c>
      <c r="AI107" s="443">
        <f>IF($J107="EFETIVO",VLOOKUP($K107,PARAMETROS!$E:BA,14,0),0)</f>
        <v>91.08</v>
      </c>
      <c r="AJ107" s="443">
        <f>IF($J107="EFETIVO",VLOOKUP($K107,PARAMETROS!$E:BB,15,0),0)</f>
        <v>17.03</v>
      </c>
      <c r="AK107" s="443"/>
      <c r="AL107" s="443"/>
      <c r="AM107" s="443"/>
      <c r="AN107" s="443"/>
      <c r="AO107" s="448">
        <f t="shared" si="143"/>
        <v>462.59890000000007</v>
      </c>
      <c r="AP107" s="443">
        <f>IF($J107="EFETIVO",VLOOKUP($K107,PARAMETROS!$E:BH,20,0),0)</f>
        <v>62.37</v>
      </c>
      <c r="AQ107" s="446"/>
      <c r="AR107" s="443">
        <f>IF($J107="EFETIVO",VLOOKUP($K107,PARAMETROS!$E:BJ,22,0),0)</f>
        <v>58.53</v>
      </c>
      <c r="AS107" s="446"/>
      <c r="AT107" s="448">
        <f t="shared" si="144"/>
        <v>120.9</v>
      </c>
      <c r="AU107" s="448">
        <f>$AU$10*AC107</f>
        <v>838.25984000000005</v>
      </c>
      <c r="AV107" s="448">
        <f t="shared" si="145"/>
        <v>4.1001840000000005</v>
      </c>
      <c r="AW107" s="448">
        <f t="shared" si="145"/>
        <v>11.3894</v>
      </c>
      <c r="AX107" s="448">
        <f t="shared" si="145"/>
        <v>0.91115200000000007</v>
      </c>
      <c r="AY107" s="448">
        <f t="shared" si="145"/>
        <v>0.45557600000000004</v>
      </c>
      <c r="AZ107" s="448">
        <f t="shared" si="145"/>
        <v>7.9725800000000007</v>
      </c>
      <c r="BA107" s="448">
        <f t="shared" si="145"/>
        <v>2.9339094400000003</v>
      </c>
      <c r="BB107" s="448">
        <f t="shared" si="145"/>
        <v>3.8723960000000002</v>
      </c>
      <c r="BC107" s="448">
        <f t="shared" si="146"/>
        <v>27.53</v>
      </c>
      <c r="BD107" s="448">
        <f t="shared" si="147"/>
        <v>31.662531999999999</v>
      </c>
      <c r="BE107" s="448">
        <f t="shared" si="147"/>
        <v>19.134191999999999</v>
      </c>
      <c r="BF107" s="448">
        <f t="shared" si="147"/>
        <v>7.517004</v>
      </c>
      <c r="BG107" s="448">
        <f t="shared" si="147"/>
        <v>0</v>
      </c>
      <c r="BH107" s="448">
        <f t="shared" si="147"/>
        <v>21.459451904000002</v>
      </c>
      <c r="BI107" s="448">
        <f t="shared" si="148"/>
        <v>79.77</v>
      </c>
      <c r="BJ107" s="448">
        <f t="shared" si="149"/>
        <v>949.66</v>
      </c>
      <c r="BK107" s="448">
        <f>IF($N107="FÉRIAS",$AD107*$BK$10,IF($AB107&gt;=15,$AD107*$BK$10,0))</f>
        <v>189.74740400000002</v>
      </c>
      <c r="BL107" s="448">
        <f>IF($N107="FÉRIAS",$AD107*$BL$10,IF($AB107&gt;=15,$AD107*$BL$10,0))</f>
        <v>253.07246800000001</v>
      </c>
      <c r="BM107" s="448">
        <f>$BM$10*BK107</f>
        <v>69.827044672</v>
      </c>
      <c r="BN107" s="448">
        <f>$BN$10*BL107</f>
        <v>93.130668224000004</v>
      </c>
      <c r="BO107" s="448">
        <f>$BO$10*AE107</f>
        <v>97.94883999999999</v>
      </c>
      <c r="BP107" s="448"/>
      <c r="BQ107" s="448">
        <f t="shared" si="150"/>
        <v>703.72</v>
      </c>
      <c r="BR107" s="448">
        <f t="shared" si="151"/>
        <v>1653.38</v>
      </c>
      <c r="BS107" s="448">
        <f t="shared" si="152"/>
        <v>288.66000000000003</v>
      </c>
      <c r="BT107" s="448">
        <f t="shared" si="152"/>
        <v>346.26</v>
      </c>
      <c r="BU107" s="448">
        <f>((AC107+AO107+AT107+BJ107+BS107+BT107)*E107)</f>
        <v>266.31293811000006</v>
      </c>
      <c r="BV107" s="448">
        <f>BQ107*E107</f>
        <v>42.152828</v>
      </c>
      <c r="BW107" s="448">
        <f>SUM(BU107:BV107)</f>
        <v>308.46576611000006</v>
      </c>
      <c r="BX107" s="448">
        <f>BS107+BT107+BW107</f>
        <v>943.38576611000008</v>
      </c>
      <c r="BY107" s="448">
        <f t="shared" si="153"/>
        <v>4754.4246661100005</v>
      </c>
      <c r="BZ107" s="448">
        <f>BQ107</f>
        <v>703.72</v>
      </c>
      <c r="CA107" s="448">
        <f>BY107+BZ107</f>
        <v>5458.1446661100008</v>
      </c>
      <c r="CB107" s="449"/>
    </row>
    <row r="108" spans="1:80" s="450" customFormat="1" ht="15.75" customHeight="1">
      <c r="A108" s="435">
        <v>1</v>
      </c>
      <c r="B108" s="435">
        <v>1</v>
      </c>
      <c r="C108" s="435" t="s">
        <v>3274</v>
      </c>
      <c r="D108" s="436">
        <f>VLOOKUP(C108,ISS!A:B,2,0)</f>
        <v>0.02</v>
      </c>
      <c r="E108" s="437">
        <f>IF(D108=2%,5.99%,IF(D108=2.5%,6.55%,IF(D108=3%,7.12%,IF(D108=3.5%,7.7%,IF(D108=4%,8.28%,IF(D108=5%,9.46%))))))</f>
        <v>5.9900000000000002E-2</v>
      </c>
      <c r="F108" s="438">
        <v>73</v>
      </c>
      <c r="G108" s="439">
        <v>12413</v>
      </c>
      <c r="H108" s="440" t="s">
        <v>4007</v>
      </c>
      <c r="I108" s="435" t="s">
        <v>3850</v>
      </c>
      <c r="J108" s="102" t="s">
        <v>3521</v>
      </c>
      <c r="K108" s="435" t="str">
        <f t="shared" si="38"/>
        <v>Pouso AlegreVIGILANTE ARMADO - 12X36 NOTURNO</v>
      </c>
      <c r="L108" s="441" t="s">
        <v>3875</v>
      </c>
      <c r="M108" s="441"/>
      <c r="N108" s="102"/>
      <c r="O108" s="102"/>
      <c r="P108" s="102"/>
      <c r="Q108" s="442">
        <f>VLOOKUP('BANCO DADOS-CUSTO TOTAL'!$K108,PARAMETROS!$E:AX,3,0)</f>
        <v>1602.86</v>
      </c>
      <c r="R108" s="442">
        <f>VLOOKUP('BANCO DADOS-CUSTO TOTAL'!$K108,PARAMETROS!$E:AY,4,0)</f>
        <v>0</v>
      </c>
      <c r="S108" s="442">
        <f>VLOOKUP('BANCO DADOS-CUSTO TOTAL'!$K108,PARAMETROS!$E:AZ,5,0)</f>
        <v>480.85799999999995</v>
      </c>
      <c r="T108" s="442">
        <f>VLOOKUP('BANCO DADOS-CUSTO TOTAL'!$K108,PARAMETROS!$E:BA,6,0)</f>
        <v>411.06073272727275</v>
      </c>
      <c r="U108" s="442">
        <f>VLOOKUP('BANCO DADOS-CUSTO TOTAL'!$K108,PARAMETROS!$E:BB,7,0)</f>
        <v>0</v>
      </c>
      <c r="V108" s="442">
        <f>VLOOKUP('BANCO DADOS-CUSTO TOTAL'!$K108,PARAMETROS!$E:BC,8,0)</f>
        <v>0</v>
      </c>
      <c r="W108" s="442">
        <f>VLOOKUP('BANCO DADOS-CUSTO TOTAL'!$K108,PARAMETROS!$E:BD,9,0)</f>
        <v>175.76850162396693</v>
      </c>
      <c r="X108" s="442">
        <f>VLOOKUP('BANCO DADOS-CUSTO TOTAL'!$K108,PARAMETROS!$E:BE,10,0)</f>
        <v>47.357227272727279</v>
      </c>
      <c r="Y108" s="443">
        <f t="shared" si="142"/>
        <v>2717.9</v>
      </c>
      <c r="Z108" s="456"/>
      <c r="AA108" s="444">
        <v>30</v>
      </c>
      <c r="AB108" s="445">
        <f>IF(J108="EFETIVO",IF(AND(L108="",M108=""),$M$5,IF(AND(L108&lt;&gt;"",M108&lt;&gt;"",MONTH(L108)=MONTH(M108),YEAR(L108)=YEAR(M108)),M108-L108+1,IF(AND(L108&lt;&gt;"",M108&lt;&gt;"",MONTH(L108)&lt;&gt;MONTH(M108)),DAY(M108),IF(AND(L108="",M108&lt;&gt;"",MONTH($H$5)=MONTH(M108),YEAR(M108)=YEAR($H$5)),M108-$K$5+1,IF(AND(L108&lt;&gt;"",M108="",MONTH($K$5)=MONTH(L108),YEAR($K$5)=YEAR(L108)),30-DAY(L108)+1,$M$5))))),0)</f>
        <v>30</v>
      </c>
      <c r="AC108" s="446">
        <f>(Y108/30)*(AA108-Z108)</f>
        <v>2717.9</v>
      </c>
      <c r="AD108" s="447">
        <f>Y108</f>
        <v>2717.9</v>
      </c>
      <c r="AE108" s="447">
        <f>IF(AND(J108="EFETIVO",N108="FÉRIAS"),AD108,IF(J108="EFETIVO",AC108,0))</f>
        <v>2717.9</v>
      </c>
      <c r="AF108" s="443">
        <f>IF(J108="EFETIVO",VLOOKUP(K108,PARAMETROS!$E:AX,11,0),0)</f>
        <v>112.9</v>
      </c>
      <c r="AG108" s="443">
        <f>VLOOKUP(H108,'VA E VT - APOIO.LIMPEZA'!F:AX,14,0)</f>
        <v>223.06049999999999</v>
      </c>
      <c r="AH108" s="443">
        <f>VLOOKUP($H108,'VA E VT - APOIO.LIMPEZA'!$F:AY,20,0)</f>
        <v>18.528400000000005</v>
      </c>
      <c r="AI108" s="443">
        <f>IF($J108="EFETIVO",VLOOKUP($K108,PARAMETROS!$E:BA,14,0),0)</f>
        <v>91.08</v>
      </c>
      <c r="AJ108" s="443">
        <f>IF($J108="EFETIVO",VLOOKUP($K108,PARAMETROS!$E:BB,15,0),0)</f>
        <v>17.03</v>
      </c>
      <c r="AK108" s="443"/>
      <c r="AL108" s="443"/>
      <c r="AM108" s="443"/>
      <c r="AN108" s="443"/>
      <c r="AO108" s="448">
        <f t="shared" si="143"/>
        <v>462.59890000000007</v>
      </c>
      <c r="AP108" s="443">
        <f>IF($J108="EFETIVO",VLOOKUP($K108,PARAMETROS!$E:BH,20,0),0)</f>
        <v>62.37</v>
      </c>
      <c r="AQ108" s="446"/>
      <c r="AR108" s="443">
        <f>IF($J108="EFETIVO",VLOOKUP($K108,PARAMETROS!$E:BJ,22,0),0)</f>
        <v>58.53</v>
      </c>
      <c r="AS108" s="446"/>
      <c r="AT108" s="448">
        <f t="shared" si="144"/>
        <v>120.9</v>
      </c>
      <c r="AU108" s="448">
        <f>$AU$10*AC108</f>
        <v>1000.1872</v>
      </c>
      <c r="AV108" s="448">
        <f t="shared" si="145"/>
        <v>4.89222</v>
      </c>
      <c r="AW108" s="448">
        <f t="shared" si="145"/>
        <v>13.589500000000001</v>
      </c>
      <c r="AX108" s="448">
        <f t="shared" si="145"/>
        <v>1.0871600000000001</v>
      </c>
      <c r="AY108" s="448">
        <f t="shared" si="145"/>
        <v>0.54358000000000006</v>
      </c>
      <c r="AZ108" s="448">
        <f t="shared" si="145"/>
        <v>9.5126500000000007</v>
      </c>
      <c r="BA108" s="448">
        <f t="shared" si="145"/>
        <v>3.5006552000000002</v>
      </c>
      <c r="BB108" s="448">
        <f t="shared" si="145"/>
        <v>4.6204299999999998</v>
      </c>
      <c r="BC108" s="448">
        <f t="shared" si="146"/>
        <v>32.85</v>
      </c>
      <c r="BD108" s="448">
        <f t="shared" si="147"/>
        <v>37.77881</v>
      </c>
      <c r="BE108" s="448">
        <f t="shared" si="147"/>
        <v>22.830359999999999</v>
      </c>
      <c r="BF108" s="448">
        <f t="shared" si="147"/>
        <v>8.9690700000000003</v>
      </c>
      <c r="BG108" s="448">
        <f t="shared" si="147"/>
        <v>0</v>
      </c>
      <c r="BH108" s="448">
        <f t="shared" si="147"/>
        <v>25.604792320000001</v>
      </c>
      <c r="BI108" s="448">
        <f t="shared" si="148"/>
        <v>95.18</v>
      </c>
      <c r="BJ108" s="448">
        <f t="shared" si="149"/>
        <v>1133.0999999999999</v>
      </c>
      <c r="BK108" s="448">
        <f>IF($N108="FÉRIAS",$AD108*$BK$10,IF($AB108&gt;=15,$AD108*$BK$10,0))</f>
        <v>226.40107</v>
      </c>
      <c r="BL108" s="448">
        <f>IF($N108="FÉRIAS",$AD108*$BL$10,IF($AB108&gt;=15,$AD108*$BL$10,0))</f>
        <v>301.95869000000005</v>
      </c>
      <c r="BM108" s="448">
        <f>$BM$10*BK108</f>
        <v>83.315593759999999</v>
      </c>
      <c r="BN108" s="448">
        <f>$BN$10*BL108</f>
        <v>111.12079792000002</v>
      </c>
      <c r="BO108" s="448">
        <f>$BO$10*AE108</f>
        <v>116.86969999999999</v>
      </c>
      <c r="BP108" s="448"/>
      <c r="BQ108" s="448">
        <f t="shared" si="150"/>
        <v>839.66</v>
      </c>
      <c r="BR108" s="448">
        <f t="shared" si="151"/>
        <v>1972.76</v>
      </c>
      <c r="BS108" s="448">
        <f t="shared" si="152"/>
        <v>288.66000000000003</v>
      </c>
      <c r="BT108" s="448">
        <f t="shared" si="152"/>
        <v>346.26</v>
      </c>
      <c r="BU108" s="448">
        <f>((AC108+AO108+AT108+BJ108+BS108+BT108)*E108)</f>
        <v>303.65819211000002</v>
      </c>
      <c r="BV108" s="448">
        <f>BQ108*E108</f>
        <v>50.295634</v>
      </c>
      <c r="BW108" s="448">
        <f>SUM(BU108:BV108)</f>
        <v>353.95382611000002</v>
      </c>
      <c r="BX108" s="448">
        <f>BS108+BT108+BW108</f>
        <v>988.8738261100001</v>
      </c>
      <c r="BY108" s="448">
        <f t="shared" si="153"/>
        <v>5423.3727261100003</v>
      </c>
      <c r="BZ108" s="448">
        <f>BQ108</f>
        <v>839.66</v>
      </c>
      <c r="CA108" s="448">
        <f>BY108+BZ108</f>
        <v>6263.0327261100001</v>
      </c>
      <c r="CB108" s="449"/>
    </row>
    <row r="109" spans="1:80" s="450" customFormat="1" ht="15.75" customHeight="1">
      <c r="A109" s="435">
        <v>1</v>
      </c>
      <c r="B109" s="435">
        <v>1</v>
      </c>
      <c r="C109" s="435" t="s">
        <v>3274</v>
      </c>
      <c r="D109" s="436">
        <f>VLOOKUP(C109,ISS!A:B,2,0)</f>
        <v>0.02</v>
      </c>
      <c r="E109" s="437">
        <f>IF(D109=2%,5.99%,IF(D109=2.5%,6.55%,IF(D109=3%,7.12%,IF(D109=3.5%,7.7%,IF(D109=4%,8.28%,IF(D109=5%,9.46%))))))</f>
        <v>5.9900000000000002E-2</v>
      </c>
      <c r="F109" s="438">
        <v>74</v>
      </c>
      <c r="G109" s="439">
        <v>12414</v>
      </c>
      <c r="H109" s="440" t="s">
        <v>4008</v>
      </c>
      <c r="I109" s="435" t="s">
        <v>3850</v>
      </c>
      <c r="J109" s="102" t="s">
        <v>3521</v>
      </c>
      <c r="K109" s="435" t="str">
        <f>CONCATENATE(C109,I109)</f>
        <v>Pouso AlegreVIGILANTE ARMADO - 12X36 NOTURNO</v>
      </c>
      <c r="L109" s="441" t="s">
        <v>3875</v>
      </c>
      <c r="M109" s="441"/>
      <c r="N109" s="102"/>
      <c r="O109" s="102"/>
      <c r="P109" s="102"/>
      <c r="Q109" s="442">
        <f>VLOOKUP('BANCO DADOS-CUSTO TOTAL'!$K109,PARAMETROS!$E:AX,3,0)</f>
        <v>1602.86</v>
      </c>
      <c r="R109" s="442">
        <f>VLOOKUP('BANCO DADOS-CUSTO TOTAL'!$K109,PARAMETROS!$E:AY,4,0)</f>
        <v>0</v>
      </c>
      <c r="S109" s="442">
        <f>VLOOKUP('BANCO DADOS-CUSTO TOTAL'!$K109,PARAMETROS!$E:AZ,5,0)</f>
        <v>480.85799999999995</v>
      </c>
      <c r="T109" s="442">
        <f>VLOOKUP('BANCO DADOS-CUSTO TOTAL'!$K109,PARAMETROS!$E:BA,6,0)</f>
        <v>411.06073272727275</v>
      </c>
      <c r="U109" s="442">
        <f>VLOOKUP('BANCO DADOS-CUSTO TOTAL'!$K109,PARAMETROS!$E:BB,7,0)</f>
        <v>0</v>
      </c>
      <c r="V109" s="442">
        <f>VLOOKUP('BANCO DADOS-CUSTO TOTAL'!$K109,PARAMETROS!$E:BC,8,0)</f>
        <v>0</v>
      </c>
      <c r="W109" s="442">
        <f>VLOOKUP('BANCO DADOS-CUSTO TOTAL'!$K109,PARAMETROS!$E:BD,9,0)</f>
        <v>175.76850162396693</v>
      </c>
      <c r="X109" s="442">
        <f>VLOOKUP('BANCO DADOS-CUSTO TOTAL'!$K109,PARAMETROS!$E:BE,10,0)</f>
        <v>47.357227272727279</v>
      </c>
      <c r="Y109" s="443">
        <f t="shared" si="142"/>
        <v>2717.9</v>
      </c>
      <c r="Z109" s="456"/>
      <c r="AA109" s="444">
        <v>30</v>
      </c>
      <c r="AB109" s="445">
        <f>IF(J109="EFETIVO",IF(AND(L109="",M109=""),$M$5,IF(AND(L109&lt;&gt;"",M109&lt;&gt;"",MONTH(L109)=MONTH(M109),YEAR(L109)=YEAR(M109)),M109-L109+1,IF(AND(L109&lt;&gt;"",M109&lt;&gt;"",MONTH(L109)&lt;&gt;MONTH(M109)),DAY(M109),IF(AND(L109="",M109&lt;&gt;"",MONTH($H$5)=MONTH(M109),YEAR(M109)=YEAR($H$5)),M109-$K$5+1,IF(AND(L109&lt;&gt;"",M109="",MONTH($K$5)=MONTH(L109),YEAR($K$5)=YEAR(L109)),30-DAY(L109)+1,$M$5))))),0)</f>
        <v>30</v>
      </c>
      <c r="AC109" s="446">
        <f>(Y109/30)*(AA109-Z109)</f>
        <v>2717.9</v>
      </c>
      <c r="AD109" s="447">
        <f>Y109</f>
        <v>2717.9</v>
      </c>
      <c r="AE109" s="447">
        <f>IF(AND(J109="EFETIVO",N109="FÉRIAS"),AD109,IF(J109="EFETIVO",AC109,0))</f>
        <v>2717.9</v>
      </c>
      <c r="AF109" s="443">
        <f>IF(J109="EFETIVO",VLOOKUP(K109,PARAMETROS!$E:AX,11,0),0)</f>
        <v>112.9</v>
      </c>
      <c r="AG109" s="443">
        <f>VLOOKUP(H109,'VA E VT - APOIO.LIMPEZA'!F:AX,14,0)</f>
        <v>223.06049999999999</v>
      </c>
      <c r="AH109" s="443">
        <f>VLOOKUP($H109,'VA E VT - APOIO.LIMPEZA'!$F:AY,20,0)</f>
        <v>18.528400000000005</v>
      </c>
      <c r="AI109" s="443">
        <f>IF($J109="EFETIVO",VLOOKUP($K109,PARAMETROS!$E:BA,14,0),0)</f>
        <v>91.08</v>
      </c>
      <c r="AJ109" s="443">
        <f>IF($J109="EFETIVO",VLOOKUP($K109,PARAMETROS!$E:BB,15,0),0)</f>
        <v>17.03</v>
      </c>
      <c r="AK109" s="443"/>
      <c r="AL109" s="443"/>
      <c r="AM109" s="443"/>
      <c r="AN109" s="443"/>
      <c r="AO109" s="448">
        <f t="shared" si="143"/>
        <v>462.59890000000007</v>
      </c>
      <c r="AP109" s="443">
        <f>IF($J109="EFETIVO",VLOOKUP($K109,PARAMETROS!$E:BH,20,0),0)</f>
        <v>62.37</v>
      </c>
      <c r="AQ109" s="446"/>
      <c r="AR109" s="443">
        <f>IF($J109="EFETIVO",VLOOKUP($K109,PARAMETROS!$E:BJ,22,0),0)</f>
        <v>58.53</v>
      </c>
      <c r="AS109" s="446"/>
      <c r="AT109" s="448">
        <f t="shared" si="144"/>
        <v>120.9</v>
      </c>
      <c r="AU109" s="448">
        <f>$AU$10*AC109</f>
        <v>1000.1872</v>
      </c>
      <c r="AV109" s="448">
        <f t="shared" si="145"/>
        <v>4.89222</v>
      </c>
      <c r="AW109" s="448">
        <f t="shared" si="145"/>
        <v>13.589500000000001</v>
      </c>
      <c r="AX109" s="448">
        <f t="shared" si="145"/>
        <v>1.0871600000000001</v>
      </c>
      <c r="AY109" s="448">
        <f t="shared" si="145"/>
        <v>0.54358000000000006</v>
      </c>
      <c r="AZ109" s="448">
        <f t="shared" si="145"/>
        <v>9.5126500000000007</v>
      </c>
      <c r="BA109" s="448">
        <f t="shared" si="145"/>
        <v>3.5006552000000002</v>
      </c>
      <c r="BB109" s="448">
        <f t="shared" si="145"/>
        <v>4.6204299999999998</v>
      </c>
      <c r="BC109" s="448">
        <f t="shared" si="146"/>
        <v>32.85</v>
      </c>
      <c r="BD109" s="448">
        <f t="shared" si="147"/>
        <v>37.77881</v>
      </c>
      <c r="BE109" s="448">
        <f t="shared" si="147"/>
        <v>22.830359999999999</v>
      </c>
      <c r="BF109" s="448">
        <f t="shared" si="147"/>
        <v>8.9690700000000003</v>
      </c>
      <c r="BG109" s="448">
        <f t="shared" si="147"/>
        <v>0</v>
      </c>
      <c r="BH109" s="448">
        <f t="shared" si="147"/>
        <v>25.604792320000001</v>
      </c>
      <c r="BI109" s="448">
        <f t="shared" si="148"/>
        <v>95.18</v>
      </c>
      <c r="BJ109" s="448">
        <f t="shared" si="149"/>
        <v>1133.0999999999999</v>
      </c>
      <c r="BK109" s="448">
        <f>IF($N109="FÉRIAS",$AD109*$BK$10,IF($AB109&gt;=15,$AD109*$BK$10,0))</f>
        <v>226.40107</v>
      </c>
      <c r="BL109" s="448">
        <f>IF($N109="FÉRIAS",$AD109*$BL$10,IF($AB109&gt;=15,$AD109*$BL$10,0))</f>
        <v>301.95869000000005</v>
      </c>
      <c r="BM109" s="448">
        <f>$BM$10*BK109</f>
        <v>83.315593759999999</v>
      </c>
      <c r="BN109" s="448">
        <f>$BN$10*BL109</f>
        <v>111.12079792000002</v>
      </c>
      <c r="BO109" s="448">
        <f>$BO$10*AE109</f>
        <v>116.86969999999999</v>
      </c>
      <c r="BP109" s="448"/>
      <c r="BQ109" s="448">
        <f t="shared" si="150"/>
        <v>839.66</v>
      </c>
      <c r="BR109" s="448">
        <f t="shared" si="151"/>
        <v>1972.76</v>
      </c>
      <c r="BS109" s="448">
        <f t="shared" si="152"/>
        <v>288.66000000000003</v>
      </c>
      <c r="BT109" s="448">
        <f t="shared" si="152"/>
        <v>346.26</v>
      </c>
      <c r="BU109" s="448">
        <f>((AC109+AO109+AT109+BJ109+BS109+BT109)*E109)</f>
        <v>303.65819211000002</v>
      </c>
      <c r="BV109" s="448">
        <f>BQ109*E109</f>
        <v>50.295634</v>
      </c>
      <c r="BW109" s="448">
        <f>SUM(BU109:BV109)</f>
        <v>353.95382611000002</v>
      </c>
      <c r="BX109" s="448">
        <f>BS109+BT109+BW109</f>
        <v>988.8738261100001</v>
      </c>
      <c r="BY109" s="448">
        <f t="shared" si="153"/>
        <v>5423.3727261100003</v>
      </c>
      <c r="BZ109" s="448">
        <f>BQ109</f>
        <v>839.66</v>
      </c>
      <c r="CA109" s="448">
        <f>BY109+BZ109</f>
        <v>6263.0327261100001</v>
      </c>
      <c r="CB109" s="449"/>
    </row>
    <row r="110" spans="1:80" s="480" customFormat="1" ht="15.75" customHeight="1">
      <c r="A110" s="462"/>
      <c r="B110" s="462"/>
      <c r="C110" s="462" t="s">
        <v>3902</v>
      </c>
      <c r="D110" s="463"/>
      <c r="E110" s="464"/>
      <c r="F110" s="465"/>
      <c r="G110" s="466"/>
      <c r="H110" s="467"/>
      <c r="I110" s="462"/>
      <c r="J110" s="468"/>
      <c r="K110" s="462"/>
      <c r="L110" s="469"/>
      <c r="M110" s="469"/>
      <c r="N110" s="468"/>
      <c r="O110" s="468"/>
      <c r="P110" s="468"/>
      <c r="Q110" s="470"/>
      <c r="R110" s="470"/>
      <c r="S110" s="470"/>
      <c r="T110" s="470"/>
      <c r="U110" s="470"/>
      <c r="V110" s="470"/>
      <c r="W110" s="470"/>
      <c r="X110" s="470"/>
      <c r="Y110" s="471"/>
      <c r="Z110" s="472"/>
      <c r="AA110" s="473"/>
      <c r="AB110" s="474"/>
      <c r="AC110" s="475"/>
      <c r="AD110" s="476"/>
      <c r="AE110" s="476"/>
      <c r="AF110" s="471">
        <f>SUBTOTAL(9,AF106:AF109)</f>
        <v>451.6</v>
      </c>
      <c r="AG110" s="471">
        <f t="shared" ref="AG110:CA110" si="154">SUBTOTAL(9,AG106:AG109)</f>
        <v>892.24199999999996</v>
      </c>
      <c r="AH110" s="471">
        <f t="shared" si="154"/>
        <v>74.113600000000019</v>
      </c>
      <c r="AI110" s="471">
        <f t="shared" si="154"/>
        <v>364.32</v>
      </c>
      <c r="AJ110" s="471">
        <f t="shared" si="154"/>
        <v>68.12</v>
      </c>
      <c r="AK110" s="471">
        <f t="shared" si="154"/>
        <v>0</v>
      </c>
      <c r="AL110" s="471">
        <f t="shared" si="154"/>
        <v>0</v>
      </c>
      <c r="AM110" s="471">
        <f t="shared" si="154"/>
        <v>0</v>
      </c>
      <c r="AN110" s="471">
        <f t="shared" si="154"/>
        <v>0</v>
      </c>
      <c r="AO110" s="471">
        <f t="shared" si="154"/>
        <v>1850.3956000000003</v>
      </c>
      <c r="AP110" s="471">
        <f t="shared" si="154"/>
        <v>249.48</v>
      </c>
      <c r="AQ110" s="471">
        <f t="shared" si="154"/>
        <v>0</v>
      </c>
      <c r="AR110" s="471">
        <f t="shared" si="154"/>
        <v>234.12</v>
      </c>
      <c r="AS110" s="471">
        <f t="shared" si="154"/>
        <v>0</v>
      </c>
      <c r="AT110" s="471">
        <f t="shared" si="154"/>
        <v>483.6</v>
      </c>
      <c r="AU110" s="471">
        <f t="shared" si="154"/>
        <v>3676.89408</v>
      </c>
      <c r="AV110" s="471">
        <f t="shared" si="154"/>
        <v>17.984808000000001</v>
      </c>
      <c r="AW110" s="471">
        <f t="shared" si="154"/>
        <v>49.957800000000006</v>
      </c>
      <c r="AX110" s="471">
        <f t="shared" si="154"/>
        <v>3.9966240000000006</v>
      </c>
      <c r="AY110" s="471">
        <f t="shared" si="154"/>
        <v>1.9983120000000003</v>
      </c>
      <c r="AZ110" s="471">
        <f t="shared" si="154"/>
        <v>34.970460000000003</v>
      </c>
      <c r="BA110" s="471">
        <f t="shared" si="154"/>
        <v>12.869129280000001</v>
      </c>
      <c r="BB110" s="471">
        <f t="shared" si="154"/>
        <v>16.985651999999998</v>
      </c>
      <c r="BC110" s="471">
        <f t="shared" si="154"/>
        <v>120.75999999999999</v>
      </c>
      <c r="BD110" s="471">
        <f t="shared" si="154"/>
        <v>138.88268399999998</v>
      </c>
      <c r="BE110" s="471">
        <f t="shared" si="154"/>
        <v>83.929103999999995</v>
      </c>
      <c r="BF110" s="471">
        <f t="shared" si="154"/>
        <v>32.972148000000004</v>
      </c>
      <c r="BG110" s="471">
        <f t="shared" si="154"/>
        <v>0</v>
      </c>
      <c r="BH110" s="471">
        <f t="shared" si="154"/>
        <v>94.128488448000013</v>
      </c>
      <c r="BI110" s="471">
        <f t="shared" si="154"/>
        <v>349.9</v>
      </c>
      <c r="BJ110" s="471">
        <f t="shared" si="154"/>
        <v>4165.5200000000004</v>
      </c>
      <c r="BK110" s="471">
        <f t="shared" si="154"/>
        <v>832.29694800000004</v>
      </c>
      <c r="BL110" s="471">
        <f t="shared" si="154"/>
        <v>1110.062316</v>
      </c>
      <c r="BM110" s="471">
        <f t="shared" si="154"/>
        <v>306.28527686400002</v>
      </c>
      <c r="BN110" s="471">
        <f t="shared" si="154"/>
        <v>408.50293228800007</v>
      </c>
      <c r="BO110" s="471">
        <f t="shared" si="154"/>
        <v>429.63707999999997</v>
      </c>
      <c r="BP110" s="471">
        <f t="shared" si="154"/>
        <v>0</v>
      </c>
      <c r="BQ110" s="471">
        <f t="shared" si="154"/>
        <v>3086.7599999999998</v>
      </c>
      <c r="BR110" s="471">
        <f t="shared" si="154"/>
        <v>7252.2800000000007</v>
      </c>
      <c r="BS110" s="471">
        <f t="shared" si="154"/>
        <v>1154.6400000000001</v>
      </c>
      <c r="BT110" s="471">
        <f t="shared" si="154"/>
        <v>1385.04</v>
      </c>
      <c r="BU110" s="471">
        <f t="shared" si="154"/>
        <v>1139.9422604400002</v>
      </c>
      <c r="BV110" s="471">
        <f t="shared" si="154"/>
        <v>184.89692400000001</v>
      </c>
      <c r="BW110" s="471">
        <f t="shared" si="154"/>
        <v>1324.8391844400003</v>
      </c>
      <c r="BX110" s="471">
        <f t="shared" si="154"/>
        <v>3864.5191844400006</v>
      </c>
      <c r="BY110" s="471">
        <f t="shared" si="154"/>
        <v>20355.59478444</v>
      </c>
      <c r="BZ110" s="471">
        <f t="shared" si="154"/>
        <v>3086.7599999999998</v>
      </c>
      <c r="CA110" s="471">
        <f t="shared" si="154"/>
        <v>23442.354784440002</v>
      </c>
      <c r="CB110" s="479"/>
    </row>
    <row r="111" spans="1:80" s="450" customFormat="1" ht="15.75" customHeight="1">
      <c r="A111" s="435">
        <v>1</v>
      </c>
      <c r="B111" s="435">
        <v>1</v>
      </c>
      <c r="C111" s="435" t="s">
        <v>3841</v>
      </c>
      <c r="D111" s="436">
        <f>VLOOKUP(C111,ISS!A:B,2,0)</f>
        <v>0.02</v>
      </c>
      <c r="E111" s="437">
        <f>IF(D111=2%,5.99%,IF(D111=2.5%,6.55%,IF(D111=3%,7.12%,IF(D111=3.5%,7.7%,IF(D111=4%,8.28%,IF(D111=5%,9.46%))))))</f>
        <v>5.9900000000000002E-2</v>
      </c>
      <c r="F111" s="438">
        <v>75</v>
      </c>
      <c r="G111" s="439">
        <v>12415</v>
      </c>
      <c r="H111" s="440" t="s">
        <v>4009</v>
      </c>
      <c r="I111" s="435" t="s">
        <v>3849</v>
      </c>
      <c r="J111" s="102" t="s">
        <v>3521</v>
      </c>
      <c r="K111" s="435" t="str">
        <f t="shared" si="38"/>
        <v>Ribeirão das NevesVIGILANTE ARMADO - 220 H</v>
      </c>
      <c r="L111" s="441" t="s">
        <v>3875</v>
      </c>
      <c r="M111" s="441"/>
      <c r="N111" s="102"/>
      <c r="O111" s="102"/>
      <c r="P111" s="102"/>
      <c r="Q111" s="442">
        <f>VLOOKUP('BANCO DADOS-CUSTO TOTAL'!$K111,PARAMETROS!$E:AX,3,0)</f>
        <v>1602.86</v>
      </c>
      <c r="R111" s="442">
        <f>VLOOKUP('BANCO DADOS-CUSTO TOTAL'!$K111,PARAMETROS!$E:AY,4,0)</f>
        <v>0</v>
      </c>
      <c r="S111" s="442">
        <f>VLOOKUP('BANCO DADOS-CUSTO TOTAL'!$K111,PARAMETROS!$E:AZ,5,0)</f>
        <v>480.85799999999995</v>
      </c>
      <c r="T111" s="442">
        <f>VLOOKUP('BANCO DADOS-CUSTO TOTAL'!$K111,PARAMETROS!$E:BA,6,0)</f>
        <v>0</v>
      </c>
      <c r="U111" s="442">
        <f>VLOOKUP('BANCO DADOS-CUSTO TOTAL'!$K111,PARAMETROS!$E:BB,7,0)</f>
        <v>0</v>
      </c>
      <c r="V111" s="442">
        <f>VLOOKUP('BANCO DADOS-CUSTO TOTAL'!$K111,PARAMETROS!$E:BC,8,0)</f>
        <v>0</v>
      </c>
      <c r="W111" s="442">
        <f>VLOOKUP('BANCO DADOS-CUSTO TOTAL'!$K111,PARAMETROS!$E:BD,9,0)</f>
        <v>189.42890909090909</v>
      </c>
      <c r="X111" s="442">
        <f>VLOOKUP('BANCO DADOS-CUSTO TOTAL'!$K111,PARAMETROS!$E:BE,10,0)</f>
        <v>13.891453333333336</v>
      </c>
      <c r="Y111" s="443">
        <f t="shared" ref="Y111:Y115" si="155">TRUNC(SUM(Q111:X111),2)</f>
        <v>2287.0300000000002</v>
      </c>
      <c r="Z111" s="456"/>
      <c r="AA111" s="444">
        <v>30</v>
      </c>
      <c r="AB111" s="445">
        <f>IF(J111="EFETIVO",IF(AND(L111="",M111=""),$M$5,IF(AND(L111&lt;&gt;"",M111&lt;&gt;"",MONTH(L111)=MONTH(M111),YEAR(L111)=YEAR(M111)),M111-L111+1,IF(AND(L111&lt;&gt;"",M111&lt;&gt;"",MONTH(L111)&lt;&gt;MONTH(M111)),DAY(M111),IF(AND(L111="",M111&lt;&gt;"",MONTH($H$5)=MONTH(M111),YEAR(M111)=YEAR($H$5)),M111-$K$5+1,IF(AND(L111&lt;&gt;"",M111="",MONTH($K$5)=MONTH(L111),YEAR($K$5)=YEAR(L111)),30-DAY(L111)+1,$M$5))))),0)</f>
        <v>30</v>
      </c>
      <c r="AC111" s="446">
        <f>(Y111/30)*(AA111-Z111)</f>
        <v>2287.0300000000002</v>
      </c>
      <c r="AD111" s="447">
        <f>Y111</f>
        <v>2287.0300000000002</v>
      </c>
      <c r="AE111" s="447">
        <f>IF(AND(J111="EFETIVO",N111="FÉRIAS"),AD111,IF(J111="EFETIVO",AC111,0))</f>
        <v>2287.0300000000002</v>
      </c>
      <c r="AF111" s="443">
        <f>IF(J111="EFETIVO",VLOOKUP(K111,PARAMETROS!$E:AX,11,0),0)</f>
        <v>112.9</v>
      </c>
      <c r="AG111" s="443">
        <f>VLOOKUP(H111,'VA E VT - APOIO.LIMPEZA'!F:AX,14,0)</f>
        <v>287.82</v>
      </c>
      <c r="AH111" s="443">
        <f>VLOOKUP($H111,'VA E VT - APOIO.LIMPEZA'!$F:AY,20,0)</f>
        <v>51.828400000000002</v>
      </c>
      <c r="AI111" s="443">
        <f>IF($J111="EFETIVO",VLOOKUP($K111,PARAMETROS!$E:BA,14,0),0)</f>
        <v>91.08</v>
      </c>
      <c r="AJ111" s="443">
        <f>IF($J111="EFETIVO",VLOOKUP($K111,PARAMETROS!$E:BB,15,0),0)</f>
        <v>17.03</v>
      </c>
      <c r="AK111" s="443"/>
      <c r="AL111" s="443"/>
      <c r="AM111" s="443"/>
      <c r="AN111" s="443"/>
      <c r="AO111" s="448">
        <f t="shared" ref="AO111:AO115" si="156">SUM(AF111:AN111)</f>
        <v>560.65840000000003</v>
      </c>
      <c r="AP111" s="443">
        <f>IF($J111="EFETIVO",VLOOKUP($K111,PARAMETROS!$E:BH,20,0),0)</f>
        <v>62.37</v>
      </c>
      <c r="AQ111" s="446"/>
      <c r="AR111" s="443">
        <f>IF($J111="EFETIVO",VLOOKUP($K111,PARAMETROS!$E:BJ,22,0),0)</f>
        <v>58.53</v>
      </c>
      <c r="AS111" s="446"/>
      <c r="AT111" s="448">
        <f t="shared" ref="AT111:AT115" si="157">(AP111+AQ111+AR111+AS111)</f>
        <v>120.9</v>
      </c>
      <c r="AU111" s="448">
        <f>$AU$10*AC111</f>
        <v>841.62704000000008</v>
      </c>
      <c r="AV111" s="448">
        <f t="shared" ref="AV111:BB115" si="158">IF($J111="EFETIVO",$Y111*AV$10,0)</f>
        <v>4.1166540000000005</v>
      </c>
      <c r="AW111" s="448">
        <f t="shared" si="158"/>
        <v>11.435150000000002</v>
      </c>
      <c r="AX111" s="448">
        <f t="shared" si="158"/>
        <v>0.91481200000000007</v>
      </c>
      <c r="AY111" s="448">
        <f t="shared" si="158"/>
        <v>0.45740600000000003</v>
      </c>
      <c r="AZ111" s="448">
        <f t="shared" si="158"/>
        <v>8.0046050000000015</v>
      </c>
      <c r="BA111" s="448">
        <f t="shared" si="158"/>
        <v>2.9456946400000006</v>
      </c>
      <c r="BB111" s="448">
        <f t="shared" si="158"/>
        <v>3.8879510000000002</v>
      </c>
      <c r="BC111" s="448">
        <f t="shared" ref="BC111:BC115" si="159">TRUNC(SUM(AW111:BB111),2)</f>
        <v>27.64</v>
      </c>
      <c r="BD111" s="448">
        <f t="shared" ref="BD111:BH115" si="160">IF($J111="EFETIVO",$Y111*BD$10,0)</f>
        <v>31.789717</v>
      </c>
      <c r="BE111" s="448">
        <f t="shared" si="160"/>
        <v>19.211052000000002</v>
      </c>
      <c r="BF111" s="448">
        <f t="shared" si="160"/>
        <v>7.5471990000000009</v>
      </c>
      <c r="BG111" s="448">
        <f t="shared" si="160"/>
        <v>0</v>
      </c>
      <c r="BH111" s="448">
        <f t="shared" si="160"/>
        <v>21.545652224000001</v>
      </c>
      <c r="BI111" s="448">
        <f t="shared" ref="BI111:BI115" si="161">TRUNC(SUM(BD111:BH111),2)</f>
        <v>80.09</v>
      </c>
      <c r="BJ111" s="448">
        <f t="shared" ref="BJ111:BJ115" si="162">TRUNC((BI111+BC111+AV111+AU111),2)</f>
        <v>953.47</v>
      </c>
      <c r="BK111" s="448">
        <f>IF($N111="FÉRIAS",$AD111*$BK$10,IF($AB111&gt;=15,$AD111*$BK$10,0))</f>
        <v>190.50959900000001</v>
      </c>
      <c r="BL111" s="448">
        <f>IF($N111="FÉRIAS",$AD111*$BL$10,IF($AB111&gt;=15,$AD111*$BL$10,0))</f>
        <v>254.08903300000003</v>
      </c>
      <c r="BM111" s="448">
        <f>$BM$10*BK111</f>
        <v>70.107532431999999</v>
      </c>
      <c r="BN111" s="448">
        <f>$BN$10*BL111</f>
        <v>93.504764144000006</v>
      </c>
      <c r="BO111" s="448">
        <f>$BO$10*AE111</f>
        <v>98.342290000000006</v>
      </c>
      <c r="BP111" s="448"/>
      <c r="BQ111" s="448">
        <f t="shared" ref="BQ111:BQ115" si="163">TRUNC(SUM(BK111:BP111),2)</f>
        <v>706.55</v>
      </c>
      <c r="BR111" s="448">
        <f t="shared" ref="BR111:BR115" si="164">TRUNC((BJ111+BQ111),2)</f>
        <v>1660.02</v>
      </c>
      <c r="BS111" s="448">
        <f t="shared" ref="BS111:BT115" si="165">IF($J111="EFETIVO",BS$10,0)</f>
        <v>288.66000000000003</v>
      </c>
      <c r="BT111" s="448">
        <f t="shared" si="165"/>
        <v>346.26</v>
      </c>
      <c r="BU111" s="448">
        <f>((AC111+AO111+AT111+BJ111+BS111+BT111)*E111)</f>
        <v>272.96300616000002</v>
      </c>
      <c r="BV111" s="448">
        <f>BQ111*E111</f>
        <v>42.322344999999999</v>
      </c>
      <c r="BW111" s="448">
        <f>SUM(BU111:BV111)</f>
        <v>315.28535116</v>
      </c>
      <c r="BX111" s="448">
        <f>BS111+BT111+BW111</f>
        <v>950.20535116000008</v>
      </c>
      <c r="BY111" s="448">
        <f t="shared" ref="BY111:BY115" si="166">(AC111+AO111+AT111+BJ111+BX111)</f>
        <v>4872.2637511599996</v>
      </c>
      <c r="BZ111" s="448">
        <f>BQ111</f>
        <v>706.55</v>
      </c>
      <c r="CA111" s="448">
        <f>BY111+BZ111</f>
        <v>5578.8137511599998</v>
      </c>
      <c r="CB111" s="449"/>
    </row>
    <row r="112" spans="1:80" s="450" customFormat="1" ht="15.75" customHeight="1">
      <c r="A112" s="435">
        <v>1</v>
      </c>
      <c r="B112" s="435">
        <v>1</v>
      </c>
      <c r="C112" s="435" t="s">
        <v>3841</v>
      </c>
      <c r="D112" s="436">
        <f>VLOOKUP(C112,ISS!A:B,2,0)</f>
        <v>0.02</v>
      </c>
      <c r="E112" s="437">
        <f>IF(D112=2%,5.99%,IF(D112=2.5%,6.55%,IF(D112=3%,7.12%,IF(D112=3.5%,7.7%,IF(D112=4%,8.28%,IF(D112=5%,9.46%))))))</f>
        <v>5.9900000000000002E-2</v>
      </c>
      <c r="F112" s="438">
        <v>76</v>
      </c>
      <c r="G112" s="439">
        <v>12416</v>
      </c>
      <c r="H112" s="440" t="s">
        <v>4010</v>
      </c>
      <c r="I112" s="435" t="s">
        <v>3848</v>
      </c>
      <c r="J112" s="102" t="s">
        <v>3521</v>
      </c>
      <c r="K112" s="435" t="str">
        <f t="shared" si="38"/>
        <v>Ribeirão das NevesVIGILANTE ARMADO - 12X36 DIURNO</v>
      </c>
      <c r="L112" s="441" t="s">
        <v>3875</v>
      </c>
      <c r="M112" s="441"/>
      <c r="N112" s="102"/>
      <c r="O112" s="102"/>
      <c r="P112" s="102"/>
      <c r="Q112" s="442">
        <f>VLOOKUP('BANCO DADOS-CUSTO TOTAL'!$K112,PARAMETROS!$E:AX,3,0)</f>
        <v>1602.86</v>
      </c>
      <c r="R112" s="442">
        <f>VLOOKUP('BANCO DADOS-CUSTO TOTAL'!$K112,PARAMETROS!$E:AY,4,0)</f>
        <v>0</v>
      </c>
      <c r="S112" s="442">
        <f>VLOOKUP('BANCO DADOS-CUSTO TOTAL'!$K112,PARAMETROS!$E:AZ,5,0)</f>
        <v>480.85799999999995</v>
      </c>
      <c r="T112" s="442">
        <f>VLOOKUP('BANCO DADOS-CUSTO TOTAL'!$K112,PARAMETROS!$E:BA,6,0)</f>
        <v>0</v>
      </c>
      <c r="U112" s="442">
        <f>VLOOKUP('BANCO DADOS-CUSTO TOTAL'!$K112,PARAMETROS!$E:BB,7,0)</f>
        <v>0</v>
      </c>
      <c r="V112" s="442">
        <f>VLOOKUP('BANCO DADOS-CUSTO TOTAL'!$K112,PARAMETROS!$E:BC,8,0)</f>
        <v>0</v>
      </c>
      <c r="W112" s="442">
        <f>VLOOKUP('BANCO DADOS-CUSTO TOTAL'!$K112,PARAMETROS!$E:BD,9,0)</f>
        <v>146.80740454545455</v>
      </c>
      <c r="X112" s="442">
        <f>VLOOKUP('BANCO DADOS-CUSTO TOTAL'!$K112,PARAMETROS!$E:BE,10,0)</f>
        <v>47.357227272727279</v>
      </c>
      <c r="Y112" s="443">
        <f t="shared" si="155"/>
        <v>2277.88</v>
      </c>
      <c r="Z112" s="456"/>
      <c r="AA112" s="444">
        <v>30</v>
      </c>
      <c r="AB112" s="445">
        <f>IF(J112="EFETIVO",IF(AND(L112="",M112=""),$M$5,IF(AND(L112&lt;&gt;"",M112&lt;&gt;"",MONTH(L112)=MONTH(M112),YEAR(L112)=YEAR(M112)),M112-L112+1,IF(AND(L112&lt;&gt;"",M112&lt;&gt;"",MONTH(L112)&lt;&gt;MONTH(M112)),DAY(M112),IF(AND(L112="",M112&lt;&gt;"",MONTH($H$5)=MONTH(M112),YEAR(M112)=YEAR($H$5)),M112-$K$5+1,IF(AND(L112&lt;&gt;"",M112="",MONTH($K$5)=MONTH(L112),YEAR($K$5)=YEAR(L112)),30-DAY(L112)+1,$M$5))))),0)</f>
        <v>30</v>
      </c>
      <c r="AC112" s="446">
        <f>(Y112/30)*(AA112-Z112)</f>
        <v>2277.88</v>
      </c>
      <c r="AD112" s="447">
        <f>Y112</f>
        <v>2277.88</v>
      </c>
      <c r="AE112" s="447">
        <f>IF(AND(J112="EFETIVO",N112="FÉRIAS"),AD112,IF(J112="EFETIVO",AC112,0))</f>
        <v>2277.88</v>
      </c>
      <c r="AF112" s="443">
        <f>IF(J112="EFETIVO",VLOOKUP(K112,PARAMETROS!$E:AX,11,0),0)</f>
        <v>112.9</v>
      </c>
      <c r="AG112" s="443">
        <f>VLOOKUP(H112,'VA E VT - APOIO.LIMPEZA'!F:AX,14,0)</f>
        <v>223.06049999999999</v>
      </c>
      <c r="AH112" s="443">
        <f>VLOOKUP($H112,'VA E VT - APOIO.LIMPEZA'!$F:AY,20,0)</f>
        <v>18.528400000000005</v>
      </c>
      <c r="AI112" s="443">
        <f>IF($J112="EFETIVO",VLOOKUP($K112,PARAMETROS!$E:BA,14,0),0)</f>
        <v>91.08</v>
      </c>
      <c r="AJ112" s="443">
        <f>IF($J112="EFETIVO",VLOOKUP($K112,PARAMETROS!$E:BB,15,0),0)</f>
        <v>17.03</v>
      </c>
      <c r="AK112" s="443"/>
      <c r="AL112" s="443"/>
      <c r="AM112" s="443"/>
      <c r="AN112" s="443"/>
      <c r="AO112" s="448">
        <f t="shared" si="156"/>
        <v>462.59890000000007</v>
      </c>
      <c r="AP112" s="443">
        <f>IF($J112="EFETIVO",VLOOKUP($K112,PARAMETROS!$E:BH,20,0),0)</f>
        <v>62.37</v>
      </c>
      <c r="AQ112" s="446"/>
      <c r="AR112" s="443">
        <f>IF($J112="EFETIVO",VLOOKUP($K112,PARAMETROS!$E:BJ,22,0),0)</f>
        <v>58.53</v>
      </c>
      <c r="AS112" s="446"/>
      <c r="AT112" s="448">
        <f t="shared" si="157"/>
        <v>120.9</v>
      </c>
      <c r="AU112" s="448">
        <f>$AU$10*AC112</f>
        <v>838.25984000000005</v>
      </c>
      <c r="AV112" s="448">
        <f t="shared" si="158"/>
        <v>4.1001840000000005</v>
      </c>
      <c r="AW112" s="448">
        <f t="shared" si="158"/>
        <v>11.3894</v>
      </c>
      <c r="AX112" s="448">
        <f t="shared" si="158"/>
        <v>0.91115200000000007</v>
      </c>
      <c r="AY112" s="448">
        <f t="shared" si="158"/>
        <v>0.45557600000000004</v>
      </c>
      <c r="AZ112" s="448">
        <f t="shared" si="158"/>
        <v>7.9725800000000007</v>
      </c>
      <c r="BA112" s="448">
        <f t="shared" si="158"/>
        <v>2.9339094400000003</v>
      </c>
      <c r="BB112" s="448">
        <f t="shared" si="158"/>
        <v>3.8723960000000002</v>
      </c>
      <c r="BC112" s="448">
        <f t="shared" si="159"/>
        <v>27.53</v>
      </c>
      <c r="BD112" s="448">
        <f t="shared" si="160"/>
        <v>31.662531999999999</v>
      </c>
      <c r="BE112" s="448">
        <f t="shared" si="160"/>
        <v>19.134191999999999</v>
      </c>
      <c r="BF112" s="448">
        <f t="shared" si="160"/>
        <v>7.517004</v>
      </c>
      <c r="BG112" s="448">
        <f t="shared" si="160"/>
        <v>0</v>
      </c>
      <c r="BH112" s="448">
        <f t="shared" si="160"/>
        <v>21.459451904000002</v>
      </c>
      <c r="BI112" s="448">
        <f t="shared" si="161"/>
        <v>79.77</v>
      </c>
      <c r="BJ112" s="448">
        <f t="shared" si="162"/>
        <v>949.66</v>
      </c>
      <c r="BK112" s="448">
        <f>IF($N112="FÉRIAS",$AD112*$BK$10,IF($AB112&gt;=15,$AD112*$BK$10,0))</f>
        <v>189.74740400000002</v>
      </c>
      <c r="BL112" s="448">
        <f>IF($N112="FÉRIAS",$AD112*$BL$10,IF($AB112&gt;=15,$AD112*$BL$10,0))</f>
        <v>253.07246800000001</v>
      </c>
      <c r="BM112" s="448">
        <f>$BM$10*BK112</f>
        <v>69.827044672</v>
      </c>
      <c r="BN112" s="448">
        <f>$BN$10*BL112</f>
        <v>93.130668224000004</v>
      </c>
      <c r="BO112" s="448">
        <f>$BO$10*AE112</f>
        <v>97.94883999999999</v>
      </c>
      <c r="BP112" s="448"/>
      <c r="BQ112" s="448">
        <f t="shared" si="163"/>
        <v>703.72</v>
      </c>
      <c r="BR112" s="448">
        <f t="shared" si="164"/>
        <v>1653.38</v>
      </c>
      <c r="BS112" s="448">
        <f t="shared" si="165"/>
        <v>288.66000000000003</v>
      </c>
      <c r="BT112" s="448">
        <f t="shared" si="165"/>
        <v>346.26</v>
      </c>
      <c r="BU112" s="448">
        <f>((AC112+AO112+AT112+BJ112+BS112+BT112)*E112)</f>
        <v>266.31293811000006</v>
      </c>
      <c r="BV112" s="448">
        <f>BQ112*E112</f>
        <v>42.152828</v>
      </c>
      <c r="BW112" s="448">
        <f>SUM(BU112:BV112)</f>
        <v>308.46576611000006</v>
      </c>
      <c r="BX112" s="448">
        <f>BS112+BT112+BW112</f>
        <v>943.38576611000008</v>
      </c>
      <c r="BY112" s="448">
        <f t="shared" si="166"/>
        <v>4754.4246661100005</v>
      </c>
      <c r="BZ112" s="448">
        <f>BQ112</f>
        <v>703.72</v>
      </c>
      <c r="CA112" s="448">
        <f>BY112+BZ112</f>
        <v>5458.1446661100008</v>
      </c>
      <c r="CB112" s="449"/>
    </row>
    <row r="113" spans="1:80" s="450" customFormat="1" ht="15.75" customHeight="1">
      <c r="A113" s="435">
        <v>1</v>
      </c>
      <c r="B113" s="435">
        <v>1</v>
      </c>
      <c r="C113" s="435" t="s">
        <v>3841</v>
      </c>
      <c r="D113" s="436">
        <f>VLOOKUP(C113,ISS!A:B,2,0)</f>
        <v>0.02</v>
      </c>
      <c r="E113" s="437">
        <f>IF(D113=2%,5.99%,IF(D113=2.5%,6.55%,IF(D113=3%,7.12%,IF(D113=3.5%,7.7%,IF(D113=4%,8.28%,IF(D113=5%,9.46%))))))</f>
        <v>5.9900000000000002E-2</v>
      </c>
      <c r="F113" s="438">
        <v>77</v>
      </c>
      <c r="G113" s="439">
        <v>12417</v>
      </c>
      <c r="H113" s="440" t="s">
        <v>4011</v>
      </c>
      <c r="I113" s="435" t="s">
        <v>3848</v>
      </c>
      <c r="J113" s="102" t="s">
        <v>3521</v>
      </c>
      <c r="K113" s="435" t="str">
        <f>CONCATENATE(C113,I113)</f>
        <v>Ribeirão das NevesVIGILANTE ARMADO - 12X36 DIURNO</v>
      </c>
      <c r="L113" s="441" t="s">
        <v>3875</v>
      </c>
      <c r="M113" s="441"/>
      <c r="N113" s="102"/>
      <c r="O113" s="102"/>
      <c r="P113" s="102"/>
      <c r="Q113" s="442">
        <f>VLOOKUP('BANCO DADOS-CUSTO TOTAL'!$K113,PARAMETROS!$E:AX,3,0)</f>
        <v>1602.86</v>
      </c>
      <c r="R113" s="442">
        <f>VLOOKUP('BANCO DADOS-CUSTO TOTAL'!$K113,PARAMETROS!$E:AY,4,0)</f>
        <v>0</v>
      </c>
      <c r="S113" s="442">
        <f>VLOOKUP('BANCO DADOS-CUSTO TOTAL'!$K113,PARAMETROS!$E:AZ,5,0)</f>
        <v>480.85799999999995</v>
      </c>
      <c r="T113" s="442">
        <f>VLOOKUP('BANCO DADOS-CUSTO TOTAL'!$K113,PARAMETROS!$E:BA,6,0)</f>
        <v>0</v>
      </c>
      <c r="U113" s="442">
        <f>VLOOKUP('BANCO DADOS-CUSTO TOTAL'!$K113,PARAMETROS!$E:BB,7,0)</f>
        <v>0</v>
      </c>
      <c r="V113" s="442">
        <f>VLOOKUP('BANCO DADOS-CUSTO TOTAL'!$K113,PARAMETROS!$E:BC,8,0)</f>
        <v>0</v>
      </c>
      <c r="W113" s="442">
        <f>VLOOKUP('BANCO DADOS-CUSTO TOTAL'!$K113,PARAMETROS!$E:BD,9,0)</f>
        <v>146.80740454545455</v>
      </c>
      <c r="X113" s="442">
        <f>VLOOKUP('BANCO DADOS-CUSTO TOTAL'!$K113,PARAMETROS!$E:BE,10,0)</f>
        <v>47.357227272727279</v>
      </c>
      <c r="Y113" s="443">
        <f t="shared" si="155"/>
        <v>2277.88</v>
      </c>
      <c r="Z113" s="456"/>
      <c r="AA113" s="444">
        <v>30</v>
      </c>
      <c r="AB113" s="445">
        <f>IF(J113="EFETIVO",IF(AND(L113="",M113=""),$M$5,IF(AND(L113&lt;&gt;"",M113&lt;&gt;"",MONTH(L113)=MONTH(M113),YEAR(L113)=YEAR(M113)),M113-L113+1,IF(AND(L113&lt;&gt;"",M113&lt;&gt;"",MONTH(L113)&lt;&gt;MONTH(M113)),DAY(M113),IF(AND(L113="",M113&lt;&gt;"",MONTH($H$5)=MONTH(M113),YEAR(M113)=YEAR($H$5)),M113-$K$5+1,IF(AND(L113&lt;&gt;"",M113="",MONTH($K$5)=MONTH(L113),YEAR($K$5)=YEAR(L113)),30-DAY(L113)+1,$M$5))))),0)</f>
        <v>30</v>
      </c>
      <c r="AC113" s="446">
        <f>(Y113/30)*(AA113-Z113)</f>
        <v>2277.88</v>
      </c>
      <c r="AD113" s="447">
        <f>Y113</f>
        <v>2277.88</v>
      </c>
      <c r="AE113" s="447">
        <f>IF(AND(J113="EFETIVO",N113="FÉRIAS"),AD113,IF(J113="EFETIVO",AC113,0))</f>
        <v>2277.88</v>
      </c>
      <c r="AF113" s="443">
        <f>IF(J113="EFETIVO",VLOOKUP(K113,PARAMETROS!$E:AX,11,0),0)</f>
        <v>112.9</v>
      </c>
      <c r="AG113" s="443">
        <f>VLOOKUP(H113,'VA E VT - APOIO.LIMPEZA'!F:AX,14,0)</f>
        <v>223.06049999999999</v>
      </c>
      <c r="AH113" s="443">
        <f>VLOOKUP($H113,'VA E VT - APOIO.LIMPEZA'!$F:AY,20,0)</f>
        <v>18.528400000000005</v>
      </c>
      <c r="AI113" s="443">
        <f>IF($J113="EFETIVO",VLOOKUP($K113,PARAMETROS!$E:BA,14,0),0)</f>
        <v>91.08</v>
      </c>
      <c r="AJ113" s="443">
        <f>IF($J113="EFETIVO",VLOOKUP($K113,PARAMETROS!$E:BB,15,0),0)</f>
        <v>17.03</v>
      </c>
      <c r="AK113" s="443"/>
      <c r="AL113" s="443"/>
      <c r="AM113" s="443"/>
      <c r="AN113" s="443"/>
      <c r="AO113" s="448">
        <f t="shared" si="156"/>
        <v>462.59890000000007</v>
      </c>
      <c r="AP113" s="443">
        <f>IF($J113="EFETIVO",VLOOKUP($K113,PARAMETROS!$E:BH,20,0),0)</f>
        <v>62.37</v>
      </c>
      <c r="AQ113" s="446"/>
      <c r="AR113" s="443">
        <f>IF($J113="EFETIVO",VLOOKUP($K113,PARAMETROS!$E:BJ,22,0),0)</f>
        <v>58.53</v>
      </c>
      <c r="AS113" s="446"/>
      <c r="AT113" s="448">
        <f t="shared" si="157"/>
        <v>120.9</v>
      </c>
      <c r="AU113" s="448">
        <f>$AU$10*AC113</f>
        <v>838.25984000000005</v>
      </c>
      <c r="AV113" s="448">
        <f t="shared" si="158"/>
        <v>4.1001840000000005</v>
      </c>
      <c r="AW113" s="448">
        <f t="shared" si="158"/>
        <v>11.3894</v>
      </c>
      <c r="AX113" s="448">
        <f t="shared" si="158"/>
        <v>0.91115200000000007</v>
      </c>
      <c r="AY113" s="448">
        <f t="shared" si="158"/>
        <v>0.45557600000000004</v>
      </c>
      <c r="AZ113" s="448">
        <f t="shared" si="158"/>
        <v>7.9725800000000007</v>
      </c>
      <c r="BA113" s="448">
        <f t="shared" si="158"/>
        <v>2.9339094400000003</v>
      </c>
      <c r="BB113" s="448">
        <f t="shared" si="158"/>
        <v>3.8723960000000002</v>
      </c>
      <c r="BC113" s="448">
        <f t="shared" si="159"/>
        <v>27.53</v>
      </c>
      <c r="BD113" s="448">
        <f t="shared" si="160"/>
        <v>31.662531999999999</v>
      </c>
      <c r="BE113" s="448">
        <f t="shared" si="160"/>
        <v>19.134191999999999</v>
      </c>
      <c r="BF113" s="448">
        <f t="shared" si="160"/>
        <v>7.517004</v>
      </c>
      <c r="BG113" s="448">
        <f t="shared" si="160"/>
        <v>0</v>
      </c>
      <c r="BH113" s="448">
        <f t="shared" si="160"/>
        <v>21.459451904000002</v>
      </c>
      <c r="BI113" s="448">
        <f t="shared" si="161"/>
        <v>79.77</v>
      </c>
      <c r="BJ113" s="448">
        <f t="shared" si="162"/>
        <v>949.66</v>
      </c>
      <c r="BK113" s="448">
        <f>IF($N113="FÉRIAS",$AD113*$BK$10,IF($AB113&gt;=15,$AD113*$BK$10,0))</f>
        <v>189.74740400000002</v>
      </c>
      <c r="BL113" s="448">
        <f>IF($N113="FÉRIAS",$AD113*$BL$10,IF($AB113&gt;=15,$AD113*$BL$10,0))</f>
        <v>253.07246800000001</v>
      </c>
      <c r="BM113" s="448">
        <f>$BM$10*BK113</f>
        <v>69.827044672</v>
      </c>
      <c r="BN113" s="448">
        <f>$BN$10*BL113</f>
        <v>93.130668224000004</v>
      </c>
      <c r="BO113" s="448">
        <f>$BO$10*AE113</f>
        <v>97.94883999999999</v>
      </c>
      <c r="BP113" s="448"/>
      <c r="BQ113" s="448">
        <f t="shared" si="163"/>
        <v>703.72</v>
      </c>
      <c r="BR113" s="448">
        <f t="shared" si="164"/>
        <v>1653.38</v>
      </c>
      <c r="BS113" s="448">
        <f t="shared" si="165"/>
        <v>288.66000000000003</v>
      </c>
      <c r="BT113" s="448">
        <f t="shared" si="165"/>
        <v>346.26</v>
      </c>
      <c r="BU113" s="448">
        <f>((AC113+AO113+AT113+BJ113+BS113+BT113)*E113)</f>
        <v>266.31293811000006</v>
      </c>
      <c r="BV113" s="448">
        <f>BQ113*E113</f>
        <v>42.152828</v>
      </c>
      <c r="BW113" s="448">
        <f>SUM(BU113:BV113)</f>
        <v>308.46576611000006</v>
      </c>
      <c r="BX113" s="448">
        <f>BS113+BT113+BW113</f>
        <v>943.38576611000008</v>
      </c>
      <c r="BY113" s="448">
        <f t="shared" si="166"/>
        <v>4754.4246661100005</v>
      </c>
      <c r="BZ113" s="448">
        <f>BQ113</f>
        <v>703.72</v>
      </c>
      <c r="CA113" s="448">
        <f>BY113+BZ113</f>
        <v>5458.1446661100008</v>
      </c>
      <c r="CB113" s="449"/>
    </row>
    <row r="114" spans="1:80" s="450" customFormat="1" ht="15.75" customHeight="1">
      <c r="A114" s="435">
        <v>1</v>
      </c>
      <c r="B114" s="435">
        <v>1</v>
      </c>
      <c r="C114" s="435" t="s">
        <v>3841</v>
      </c>
      <c r="D114" s="436">
        <f>VLOOKUP(C114,ISS!A:B,2,0)</f>
        <v>0.02</v>
      </c>
      <c r="E114" s="437">
        <f>IF(D114=2%,5.99%,IF(D114=2.5%,6.55%,IF(D114=3%,7.12%,IF(D114=3.5%,7.7%,IF(D114=4%,8.28%,IF(D114=5%,9.46%))))))</f>
        <v>5.9900000000000002E-2</v>
      </c>
      <c r="F114" s="438">
        <v>78</v>
      </c>
      <c r="G114" s="439">
        <v>12418</v>
      </c>
      <c r="H114" s="440" t="s">
        <v>4012</v>
      </c>
      <c r="I114" s="435" t="s">
        <v>3850</v>
      </c>
      <c r="J114" s="102" t="s">
        <v>3521</v>
      </c>
      <c r="K114" s="435" t="str">
        <f t="shared" si="38"/>
        <v>Ribeirão das NevesVIGILANTE ARMADO - 12X36 NOTURNO</v>
      </c>
      <c r="L114" s="441" t="s">
        <v>3875</v>
      </c>
      <c r="M114" s="441"/>
      <c r="N114" s="102"/>
      <c r="O114" s="102"/>
      <c r="P114" s="102"/>
      <c r="Q114" s="442">
        <f>VLOOKUP('BANCO DADOS-CUSTO TOTAL'!$K114,PARAMETROS!$E:AX,3,0)</f>
        <v>1602.86</v>
      </c>
      <c r="R114" s="442">
        <f>VLOOKUP('BANCO DADOS-CUSTO TOTAL'!$K114,PARAMETROS!$E:AY,4,0)</f>
        <v>0</v>
      </c>
      <c r="S114" s="442">
        <f>VLOOKUP('BANCO DADOS-CUSTO TOTAL'!$K114,PARAMETROS!$E:AZ,5,0)</f>
        <v>480.85799999999995</v>
      </c>
      <c r="T114" s="442">
        <f>VLOOKUP('BANCO DADOS-CUSTO TOTAL'!$K114,PARAMETROS!$E:BA,6,0)</f>
        <v>411.06073272727275</v>
      </c>
      <c r="U114" s="442">
        <f>VLOOKUP('BANCO DADOS-CUSTO TOTAL'!$K114,PARAMETROS!$E:BB,7,0)</f>
        <v>0</v>
      </c>
      <c r="V114" s="442">
        <f>VLOOKUP('BANCO DADOS-CUSTO TOTAL'!$K114,PARAMETROS!$E:BC,8,0)</f>
        <v>0</v>
      </c>
      <c r="W114" s="442">
        <f>VLOOKUP('BANCO DADOS-CUSTO TOTAL'!$K114,PARAMETROS!$E:BD,9,0)</f>
        <v>175.76850162396693</v>
      </c>
      <c r="X114" s="442">
        <f>VLOOKUP('BANCO DADOS-CUSTO TOTAL'!$K114,PARAMETROS!$E:BE,10,0)</f>
        <v>47.357227272727279</v>
      </c>
      <c r="Y114" s="443">
        <f t="shared" si="155"/>
        <v>2717.9</v>
      </c>
      <c r="Z114" s="456"/>
      <c r="AA114" s="444">
        <v>30</v>
      </c>
      <c r="AB114" s="445">
        <f>IF(J114="EFETIVO",IF(AND(L114="",M114=""),$M$5,IF(AND(L114&lt;&gt;"",M114&lt;&gt;"",MONTH(L114)=MONTH(M114),YEAR(L114)=YEAR(M114)),M114-L114+1,IF(AND(L114&lt;&gt;"",M114&lt;&gt;"",MONTH(L114)&lt;&gt;MONTH(M114)),DAY(M114),IF(AND(L114="",M114&lt;&gt;"",MONTH($H$5)=MONTH(M114),YEAR(M114)=YEAR($H$5)),M114-$K$5+1,IF(AND(L114&lt;&gt;"",M114="",MONTH($K$5)=MONTH(L114),YEAR($K$5)=YEAR(L114)),30-DAY(L114)+1,$M$5))))),0)</f>
        <v>30</v>
      </c>
      <c r="AC114" s="446">
        <f>(Y114/30)*(AA114-Z114)</f>
        <v>2717.9</v>
      </c>
      <c r="AD114" s="447">
        <f>Y114</f>
        <v>2717.9</v>
      </c>
      <c r="AE114" s="447">
        <f>IF(AND(J114="EFETIVO",N114="FÉRIAS"),AD114,IF(J114="EFETIVO",AC114,0))</f>
        <v>2717.9</v>
      </c>
      <c r="AF114" s="443">
        <f>IF(J114="EFETIVO",VLOOKUP(K114,PARAMETROS!$E:AX,11,0),0)</f>
        <v>112.9</v>
      </c>
      <c r="AG114" s="443">
        <f>VLOOKUP(H114,'VA E VT - APOIO.LIMPEZA'!F:AX,14,0)</f>
        <v>223.06049999999999</v>
      </c>
      <c r="AH114" s="443">
        <f>VLOOKUP($H114,'VA E VT - APOIO.LIMPEZA'!$F:AY,20,0)</f>
        <v>18.528400000000005</v>
      </c>
      <c r="AI114" s="443">
        <f>IF($J114="EFETIVO",VLOOKUP($K114,PARAMETROS!$E:BA,14,0),0)</f>
        <v>91.08</v>
      </c>
      <c r="AJ114" s="443">
        <f>IF($J114="EFETIVO",VLOOKUP($K114,PARAMETROS!$E:BB,15,0),0)</f>
        <v>17.03</v>
      </c>
      <c r="AK114" s="443"/>
      <c r="AL114" s="443"/>
      <c r="AM114" s="443"/>
      <c r="AN114" s="443"/>
      <c r="AO114" s="448">
        <f t="shared" si="156"/>
        <v>462.59890000000007</v>
      </c>
      <c r="AP114" s="443">
        <f>IF($J114="EFETIVO",VLOOKUP($K114,PARAMETROS!$E:BH,20,0),0)</f>
        <v>62.37</v>
      </c>
      <c r="AQ114" s="446"/>
      <c r="AR114" s="443">
        <f>IF($J114="EFETIVO",VLOOKUP($K114,PARAMETROS!$E:BJ,22,0),0)</f>
        <v>58.53</v>
      </c>
      <c r="AS114" s="446"/>
      <c r="AT114" s="448">
        <f t="shared" si="157"/>
        <v>120.9</v>
      </c>
      <c r="AU114" s="448">
        <f>$AU$10*AC114</f>
        <v>1000.1872</v>
      </c>
      <c r="AV114" s="448">
        <f t="shared" si="158"/>
        <v>4.89222</v>
      </c>
      <c r="AW114" s="448">
        <f t="shared" si="158"/>
        <v>13.589500000000001</v>
      </c>
      <c r="AX114" s="448">
        <f t="shared" si="158"/>
        <v>1.0871600000000001</v>
      </c>
      <c r="AY114" s="448">
        <f t="shared" si="158"/>
        <v>0.54358000000000006</v>
      </c>
      <c r="AZ114" s="448">
        <f t="shared" si="158"/>
        <v>9.5126500000000007</v>
      </c>
      <c r="BA114" s="448">
        <f t="shared" si="158"/>
        <v>3.5006552000000002</v>
      </c>
      <c r="BB114" s="448">
        <f t="shared" si="158"/>
        <v>4.6204299999999998</v>
      </c>
      <c r="BC114" s="448">
        <f t="shared" si="159"/>
        <v>32.85</v>
      </c>
      <c r="BD114" s="448">
        <f t="shared" si="160"/>
        <v>37.77881</v>
      </c>
      <c r="BE114" s="448">
        <f t="shared" si="160"/>
        <v>22.830359999999999</v>
      </c>
      <c r="BF114" s="448">
        <f t="shared" si="160"/>
        <v>8.9690700000000003</v>
      </c>
      <c r="BG114" s="448">
        <f t="shared" si="160"/>
        <v>0</v>
      </c>
      <c r="BH114" s="448">
        <f t="shared" si="160"/>
        <v>25.604792320000001</v>
      </c>
      <c r="BI114" s="448">
        <f t="shared" si="161"/>
        <v>95.18</v>
      </c>
      <c r="BJ114" s="448">
        <f t="shared" si="162"/>
        <v>1133.0999999999999</v>
      </c>
      <c r="BK114" s="448">
        <f>IF($N114="FÉRIAS",$AD114*$BK$10,IF($AB114&gt;=15,$AD114*$BK$10,0))</f>
        <v>226.40107</v>
      </c>
      <c r="BL114" s="448">
        <f>IF($N114="FÉRIAS",$AD114*$BL$10,IF($AB114&gt;=15,$AD114*$BL$10,0))</f>
        <v>301.95869000000005</v>
      </c>
      <c r="BM114" s="448">
        <f>$BM$10*BK114</f>
        <v>83.315593759999999</v>
      </c>
      <c r="BN114" s="448">
        <f>$BN$10*BL114</f>
        <v>111.12079792000002</v>
      </c>
      <c r="BO114" s="448">
        <f>$BO$10*AE114</f>
        <v>116.86969999999999</v>
      </c>
      <c r="BP114" s="448"/>
      <c r="BQ114" s="448">
        <f t="shared" si="163"/>
        <v>839.66</v>
      </c>
      <c r="BR114" s="448">
        <f t="shared" si="164"/>
        <v>1972.76</v>
      </c>
      <c r="BS114" s="448">
        <f t="shared" si="165"/>
        <v>288.66000000000003</v>
      </c>
      <c r="BT114" s="448">
        <f t="shared" si="165"/>
        <v>346.26</v>
      </c>
      <c r="BU114" s="448">
        <f>((AC114+AO114+AT114+BJ114+BS114+BT114)*E114)</f>
        <v>303.65819211000002</v>
      </c>
      <c r="BV114" s="448">
        <f>BQ114*E114</f>
        <v>50.295634</v>
      </c>
      <c r="BW114" s="448">
        <f>SUM(BU114:BV114)</f>
        <v>353.95382611000002</v>
      </c>
      <c r="BX114" s="448">
        <f>BS114+BT114+BW114</f>
        <v>988.8738261100001</v>
      </c>
      <c r="BY114" s="448">
        <f t="shared" si="166"/>
        <v>5423.3727261100003</v>
      </c>
      <c r="BZ114" s="448">
        <f>BQ114</f>
        <v>839.66</v>
      </c>
      <c r="CA114" s="448">
        <f>BY114+BZ114</f>
        <v>6263.0327261100001</v>
      </c>
      <c r="CB114" s="449"/>
    </row>
    <row r="115" spans="1:80" s="450" customFormat="1" ht="15.75" customHeight="1">
      <c r="A115" s="435">
        <v>1</v>
      </c>
      <c r="B115" s="435">
        <v>1</v>
      </c>
      <c r="C115" s="435" t="s">
        <v>3841</v>
      </c>
      <c r="D115" s="436">
        <f>VLOOKUP(C115,ISS!A:B,2,0)</f>
        <v>0.02</v>
      </c>
      <c r="E115" s="437">
        <f>IF(D115=2%,5.99%,IF(D115=2.5%,6.55%,IF(D115=3%,7.12%,IF(D115=3.5%,7.7%,IF(D115=4%,8.28%,IF(D115=5%,9.46%))))))</f>
        <v>5.9900000000000002E-2</v>
      </c>
      <c r="F115" s="438">
        <v>79</v>
      </c>
      <c r="G115" s="439">
        <v>12419</v>
      </c>
      <c r="H115" s="440" t="s">
        <v>4013</v>
      </c>
      <c r="I115" s="435" t="s">
        <v>3850</v>
      </c>
      <c r="J115" s="102" t="s">
        <v>3521</v>
      </c>
      <c r="K115" s="435" t="str">
        <f>CONCATENATE(C115,I115)</f>
        <v>Ribeirão das NevesVIGILANTE ARMADO - 12X36 NOTURNO</v>
      </c>
      <c r="L115" s="441" t="s">
        <v>3875</v>
      </c>
      <c r="M115" s="441"/>
      <c r="N115" s="102"/>
      <c r="O115" s="102"/>
      <c r="P115" s="102"/>
      <c r="Q115" s="442">
        <f>VLOOKUP('BANCO DADOS-CUSTO TOTAL'!$K115,PARAMETROS!$E:AX,3,0)</f>
        <v>1602.86</v>
      </c>
      <c r="R115" s="442">
        <f>VLOOKUP('BANCO DADOS-CUSTO TOTAL'!$K115,PARAMETROS!$E:AY,4,0)</f>
        <v>0</v>
      </c>
      <c r="S115" s="442">
        <f>VLOOKUP('BANCO DADOS-CUSTO TOTAL'!$K115,PARAMETROS!$E:AZ,5,0)</f>
        <v>480.85799999999995</v>
      </c>
      <c r="T115" s="442">
        <f>VLOOKUP('BANCO DADOS-CUSTO TOTAL'!$K115,PARAMETROS!$E:BA,6,0)</f>
        <v>411.06073272727275</v>
      </c>
      <c r="U115" s="442">
        <f>VLOOKUP('BANCO DADOS-CUSTO TOTAL'!$K115,PARAMETROS!$E:BB,7,0)</f>
        <v>0</v>
      </c>
      <c r="V115" s="442">
        <f>VLOOKUP('BANCO DADOS-CUSTO TOTAL'!$K115,PARAMETROS!$E:BC,8,0)</f>
        <v>0</v>
      </c>
      <c r="W115" s="442">
        <f>VLOOKUP('BANCO DADOS-CUSTO TOTAL'!$K115,PARAMETROS!$E:BD,9,0)</f>
        <v>175.76850162396693</v>
      </c>
      <c r="X115" s="442">
        <f>VLOOKUP('BANCO DADOS-CUSTO TOTAL'!$K115,PARAMETROS!$E:BE,10,0)</f>
        <v>47.357227272727279</v>
      </c>
      <c r="Y115" s="443">
        <f t="shared" si="155"/>
        <v>2717.9</v>
      </c>
      <c r="Z115" s="456"/>
      <c r="AA115" s="444">
        <v>30</v>
      </c>
      <c r="AB115" s="445">
        <f>IF(J115="EFETIVO",IF(AND(L115="",M115=""),$M$5,IF(AND(L115&lt;&gt;"",M115&lt;&gt;"",MONTH(L115)=MONTH(M115),YEAR(L115)=YEAR(M115)),M115-L115+1,IF(AND(L115&lt;&gt;"",M115&lt;&gt;"",MONTH(L115)&lt;&gt;MONTH(M115)),DAY(M115),IF(AND(L115="",M115&lt;&gt;"",MONTH($H$5)=MONTH(M115),YEAR(M115)=YEAR($H$5)),M115-$K$5+1,IF(AND(L115&lt;&gt;"",M115="",MONTH($K$5)=MONTH(L115),YEAR($K$5)=YEAR(L115)),30-DAY(L115)+1,$M$5))))),0)</f>
        <v>30</v>
      </c>
      <c r="AC115" s="446">
        <f>(Y115/30)*(AA115-Z115)</f>
        <v>2717.9</v>
      </c>
      <c r="AD115" s="447">
        <f>Y115</f>
        <v>2717.9</v>
      </c>
      <c r="AE115" s="447">
        <f>IF(AND(J115="EFETIVO",N115="FÉRIAS"),AD115,IF(J115="EFETIVO",AC115,0))</f>
        <v>2717.9</v>
      </c>
      <c r="AF115" s="443">
        <f>IF(J115="EFETIVO",VLOOKUP(K115,PARAMETROS!$E:AX,11,0),0)</f>
        <v>112.9</v>
      </c>
      <c r="AG115" s="443">
        <f>VLOOKUP(H115,'VA E VT - APOIO.LIMPEZA'!F:AX,14,0)</f>
        <v>223.06049999999999</v>
      </c>
      <c r="AH115" s="443">
        <f>VLOOKUP($H115,'VA E VT - APOIO.LIMPEZA'!$F:AY,20,0)</f>
        <v>18.528400000000005</v>
      </c>
      <c r="AI115" s="443">
        <f>IF($J115="EFETIVO",VLOOKUP($K115,PARAMETROS!$E:BA,14,0),0)</f>
        <v>91.08</v>
      </c>
      <c r="AJ115" s="443">
        <f>IF($J115="EFETIVO",VLOOKUP($K115,PARAMETROS!$E:BB,15,0),0)</f>
        <v>17.03</v>
      </c>
      <c r="AK115" s="443"/>
      <c r="AL115" s="443"/>
      <c r="AM115" s="443"/>
      <c r="AN115" s="443"/>
      <c r="AO115" s="448">
        <f t="shared" si="156"/>
        <v>462.59890000000007</v>
      </c>
      <c r="AP115" s="443">
        <f>IF($J115="EFETIVO",VLOOKUP($K115,PARAMETROS!$E:BH,20,0),0)</f>
        <v>62.37</v>
      </c>
      <c r="AQ115" s="446"/>
      <c r="AR115" s="443">
        <f>IF($J115="EFETIVO",VLOOKUP($K115,PARAMETROS!$E:BJ,22,0),0)</f>
        <v>58.53</v>
      </c>
      <c r="AS115" s="446"/>
      <c r="AT115" s="448">
        <f t="shared" si="157"/>
        <v>120.9</v>
      </c>
      <c r="AU115" s="448">
        <f>$AU$10*AC115</f>
        <v>1000.1872</v>
      </c>
      <c r="AV115" s="448">
        <f t="shared" si="158"/>
        <v>4.89222</v>
      </c>
      <c r="AW115" s="448">
        <f t="shared" si="158"/>
        <v>13.589500000000001</v>
      </c>
      <c r="AX115" s="448">
        <f t="shared" si="158"/>
        <v>1.0871600000000001</v>
      </c>
      <c r="AY115" s="448">
        <f t="shared" si="158"/>
        <v>0.54358000000000006</v>
      </c>
      <c r="AZ115" s="448">
        <f t="shared" si="158"/>
        <v>9.5126500000000007</v>
      </c>
      <c r="BA115" s="448">
        <f t="shared" si="158"/>
        <v>3.5006552000000002</v>
      </c>
      <c r="BB115" s="448">
        <f t="shared" si="158"/>
        <v>4.6204299999999998</v>
      </c>
      <c r="BC115" s="448">
        <f t="shared" si="159"/>
        <v>32.85</v>
      </c>
      <c r="BD115" s="448">
        <f t="shared" si="160"/>
        <v>37.77881</v>
      </c>
      <c r="BE115" s="448">
        <f t="shared" si="160"/>
        <v>22.830359999999999</v>
      </c>
      <c r="BF115" s="448">
        <f t="shared" si="160"/>
        <v>8.9690700000000003</v>
      </c>
      <c r="BG115" s="448">
        <f t="shared" si="160"/>
        <v>0</v>
      </c>
      <c r="BH115" s="448">
        <f t="shared" si="160"/>
        <v>25.604792320000001</v>
      </c>
      <c r="BI115" s="448">
        <f t="shared" si="161"/>
        <v>95.18</v>
      </c>
      <c r="BJ115" s="448">
        <f t="shared" si="162"/>
        <v>1133.0999999999999</v>
      </c>
      <c r="BK115" s="448">
        <f>IF($N115="FÉRIAS",$AD115*$BK$10,IF($AB115&gt;=15,$AD115*$BK$10,0))</f>
        <v>226.40107</v>
      </c>
      <c r="BL115" s="448">
        <f>IF($N115="FÉRIAS",$AD115*$BL$10,IF($AB115&gt;=15,$AD115*$BL$10,0))</f>
        <v>301.95869000000005</v>
      </c>
      <c r="BM115" s="448">
        <f>$BM$10*BK115</f>
        <v>83.315593759999999</v>
      </c>
      <c r="BN115" s="448">
        <f>$BN$10*BL115</f>
        <v>111.12079792000002</v>
      </c>
      <c r="BO115" s="448">
        <f>$BO$10*AE115</f>
        <v>116.86969999999999</v>
      </c>
      <c r="BP115" s="448"/>
      <c r="BQ115" s="448">
        <f t="shared" si="163"/>
        <v>839.66</v>
      </c>
      <c r="BR115" s="448">
        <f t="shared" si="164"/>
        <v>1972.76</v>
      </c>
      <c r="BS115" s="448">
        <f t="shared" si="165"/>
        <v>288.66000000000003</v>
      </c>
      <c r="BT115" s="448">
        <f t="shared" si="165"/>
        <v>346.26</v>
      </c>
      <c r="BU115" s="448">
        <f>((AC115+AO115+AT115+BJ115+BS115+BT115)*E115)</f>
        <v>303.65819211000002</v>
      </c>
      <c r="BV115" s="448">
        <f>BQ115*E115</f>
        <v>50.295634</v>
      </c>
      <c r="BW115" s="448">
        <f>SUM(BU115:BV115)</f>
        <v>353.95382611000002</v>
      </c>
      <c r="BX115" s="448">
        <f>BS115+BT115+BW115</f>
        <v>988.8738261100001</v>
      </c>
      <c r="BY115" s="448">
        <f t="shared" si="166"/>
        <v>5423.3727261100003</v>
      </c>
      <c r="BZ115" s="448">
        <f>BQ115</f>
        <v>839.66</v>
      </c>
      <c r="CA115" s="448">
        <f>BY115+BZ115</f>
        <v>6263.0327261100001</v>
      </c>
      <c r="CB115" s="449"/>
    </row>
    <row r="116" spans="1:80" s="480" customFormat="1" ht="15.75" customHeight="1">
      <c r="A116" s="462"/>
      <c r="B116" s="462"/>
      <c r="C116" s="462" t="s">
        <v>3903</v>
      </c>
      <c r="D116" s="463"/>
      <c r="E116" s="464"/>
      <c r="F116" s="465"/>
      <c r="G116" s="466"/>
      <c r="H116" s="467"/>
      <c r="I116" s="462"/>
      <c r="J116" s="468"/>
      <c r="K116" s="462"/>
      <c r="L116" s="469"/>
      <c r="M116" s="469"/>
      <c r="N116" s="468"/>
      <c r="O116" s="468"/>
      <c r="P116" s="468"/>
      <c r="Q116" s="470"/>
      <c r="R116" s="470"/>
      <c r="S116" s="470"/>
      <c r="T116" s="470"/>
      <c r="U116" s="470"/>
      <c r="V116" s="470"/>
      <c r="W116" s="470"/>
      <c r="X116" s="470"/>
      <c r="Y116" s="471"/>
      <c r="Z116" s="472"/>
      <c r="AA116" s="473"/>
      <c r="AB116" s="474"/>
      <c r="AC116" s="475"/>
      <c r="AD116" s="476"/>
      <c r="AE116" s="476"/>
      <c r="AF116" s="478">
        <f t="shared" ref="AF116:BZ116" si="167">SUBTOTAL(9,AF111:AF115)</f>
        <v>564.5</v>
      </c>
      <c r="AG116" s="477">
        <f t="shared" si="167"/>
        <v>1180.0620000000001</v>
      </c>
      <c r="AH116" s="477">
        <f t="shared" si="167"/>
        <v>125.94200000000002</v>
      </c>
      <c r="AI116" s="477">
        <f t="shared" si="167"/>
        <v>455.4</v>
      </c>
      <c r="AJ116" s="477">
        <f t="shared" si="167"/>
        <v>85.15</v>
      </c>
      <c r="AK116" s="477">
        <f t="shared" si="167"/>
        <v>0</v>
      </c>
      <c r="AL116" s="477">
        <f t="shared" si="167"/>
        <v>0</v>
      </c>
      <c r="AM116" s="477">
        <f t="shared" si="167"/>
        <v>0</v>
      </c>
      <c r="AN116" s="477">
        <f t="shared" si="167"/>
        <v>0</v>
      </c>
      <c r="AO116" s="477">
        <f t="shared" si="167"/>
        <v>2411.0540000000001</v>
      </c>
      <c r="AP116" s="477">
        <f t="shared" si="167"/>
        <v>311.84999999999997</v>
      </c>
      <c r="AQ116" s="477">
        <f t="shared" si="167"/>
        <v>0</v>
      </c>
      <c r="AR116" s="477">
        <f t="shared" si="167"/>
        <v>292.64999999999998</v>
      </c>
      <c r="AS116" s="477">
        <f t="shared" si="167"/>
        <v>0</v>
      </c>
      <c r="AT116" s="477">
        <f t="shared" si="167"/>
        <v>604.5</v>
      </c>
      <c r="AU116" s="477">
        <f t="shared" si="167"/>
        <v>4518.5211200000003</v>
      </c>
      <c r="AV116" s="477">
        <f t="shared" si="167"/>
        <v>22.101462000000005</v>
      </c>
      <c r="AW116" s="477">
        <f t="shared" si="167"/>
        <v>61.392950000000006</v>
      </c>
      <c r="AX116" s="477">
        <f t="shared" si="167"/>
        <v>4.9114360000000001</v>
      </c>
      <c r="AY116" s="477">
        <f t="shared" si="167"/>
        <v>2.4557180000000001</v>
      </c>
      <c r="AZ116" s="477">
        <f t="shared" si="167"/>
        <v>42.975065000000008</v>
      </c>
      <c r="BA116" s="477">
        <f t="shared" si="167"/>
        <v>15.814823920000002</v>
      </c>
      <c r="BB116" s="477">
        <f t="shared" si="167"/>
        <v>20.873602999999999</v>
      </c>
      <c r="BC116" s="477">
        <f t="shared" si="167"/>
        <v>148.4</v>
      </c>
      <c r="BD116" s="477">
        <f t="shared" si="167"/>
        <v>170.67240099999998</v>
      </c>
      <c r="BE116" s="477">
        <f t="shared" si="167"/>
        <v>103.140156</v>
      </c>
      <c r="BF116" s="477">
        <f t="shared" si="167"/>
        <v>40.519347000000003</v>
      </c>
      <c r="BG116" s="477">
        <f t="shared" si="167"/>
        <v>0</v>
      </c>
      <c r="BH116" s="477">
        <f t="shared" si="167"/>
        <v>115.67414067200001</v>
      </c>
      <c r="BI116" s="477">
        <f t="shared" si="167"/>
        <v>429.99</v>
      </c>
      <c r="BJ116" s="477">
        <f t="shared" si="167"/>
        <v>5118.99</v>
      </c>
      <c r="BK116" s="477">
        <f t="shared" si="167"/>
        <v>1022.8065470000001</v>
      </c>
      <c r="BL116" s="477">
        <f t="shared" si="167"/>
        <v>1364.1513490000002</v>
      </c>
      <c r="BM116" s="477">
        <f t="shared" si="167"/>
        <v>376.392809296</v>
      </c>
      <c r="BN116" s="477">
        <f t="shared" si="167"/>
        <v>502.0076964320001</v>
      </c>
      <c r="BO116" s="477">
        <f t="shared" si="167"/>
        <v>527.9793699999999</v>
      </c>
      <c r="BP116" s="477">
        <f t="shared" si="167"/>
        <v>0</v>
      </c>
      <c r="BQ116" s="477">
        <f t="shared" si="167"/>
        <v>3793.3099999999995</v>
      </c>
      <c r="BR116" s="477">
        <f t="shared" si="167"/>
        <v>8912.3000000000011</v>
      </c>
      <c r="BS116" s="477">
        <f t="shared" si="167"/>
        <v>1443.3000000000002</v>
      </c>
      <c r="BT116" s="477">
        <f t="shared" si="167"/>
        <v>1731.3</v>
      </c>
      <c r="BU116" s="477">
        <f t="shared" si="167"/>
        <v>1412.9052666000002</v>
      </c>
      <c r="BV116" s="477">
        <f t="shared" si="167"/>
        <v>227.219269</v>
      </c>
      <c r="BW116" s="477">
        <f t="shared" si="167"/>
        <v>1640.1245356000004</v>
      </c>
      <c r="BX116" s="477">
        <f t="shared" si="167"/>
        <v>4814.7245356000003</v>
      </c>
      <c r="BY116" s="477">
        <f t="shared" si="167"/>
        <v>25227.8585356</v>
      </c>
      <c r="BZ116" s="477">
        <f t="shared" si="167"/>
        <v>3793.3099999999995</v>
      </c>
      <c r="CA116" s="477">
        <f>SUBTOTAL(9,CA111:CA115)</f>
        <v>29021.168535600002</v>
      </c>
      <c r="CB116" s="479"/>
    </row>
    <row r="117" spans="1:80" s="450" customFormat="1" ht="15.75" customHeight="1">
      <c r="A117" s="435">
        <v>1</v>
      </c>
      <c r="B117" s="435">
        <v>1</v>
      </c>
      <c r="C117" s="435" t="s">
        <v>3277</v>
      </c>
      <c r="D117" s="436">
        <f>VLOOKUP(C117,ISS!A:B,2,0)</f>
        <v>0.02</v>
      </c>
      <c r="E117" s="437">
        <f>IF(D117=2%,5.99%,IF(D117=2.5%,6.55%,IF(D117=3%,7.12%,IF(D117=3.5%,7.7%,IF(D117=4%,8.28%,IF(D117=5%,9.46%))))))</f>
        <v>5.9900000000000002E-2</v>
      </c>
      <c r="F117" s="438">
        <v>80</v>
      </c>
      <c r="G117" s="439">
        <v>12420</v>
      </c>
      <c r="H117" s="440" t="s">
        <v>4014</v>
      </c>
      <c r="I117" s="435" t="s">
        <v>3848</v>
      </c>
      <c r="J117" s="102" t="s">
        <v>3521</v>
      </c>
      <c r="K117" s="435" t="str">
        <f t="shared" si="38"/>
        <v>Santa LuziaVIGILANTE ARMADO - 12X36 DIURNO</v>
      </c>
      <c r="L117" s="441" t="s">
        <v>3875</v>
      </c>
      <c r="M117" s="441"/>
      <c r="N117" s="102"/>
      <c r="O117" s="102"/>
      <c r="P117" s="102"/>
      <c r="Q117" s="442">
        <f>VLOOKUP('BANCO DADOS-CUSTO TOTAL'!$K117,PARAMETROS!$E:AX,3,0)</f>
        <v>1602.86</v>
      </c>
      <c r="R117" s="442">
        <f>VLOOKUP('BANCO DADOS-CUSTO TOTAL'!$K117,PARAMETROS!$E:AY,4,0)</f>
        <v>0</v>
      </c>
      <c r="S117" s="442">
        <f>VLOOKUP('BANCO DADOS-CUSTO TOTAL'!$K117,PARAMETROS!$E:AZ,5,0)</f>
        <v>480.85799999999995</v>
      </c>
      <c r="T117" s="442">
        <f>VLOOKUP('BANCO DADOS-CUSTO TOTAL'!$K117,PARAMETROS!$E:BA,6,0)</f>
        <v>0</v>
      </c>
      <c r="U117" s="442">
        <f>VLOOKUP('BANCO DADOS-CUSTO TOTAL'!$K117,PARAMETROS!$E:BB,7,0)</f>
        <v>0</v>
      </c>
      <c r="V117" s="442">
        <f>VLOOKUP('BANCO DADOS-CUSTO TOTAL'!$K117,PARAMETROS!$E:BC,8,0)</f>
        <v>0</v>
      </c>
      <c r="W117" s="442">
        <f>VLOOKUP('BANCO DADOS-CUSTO TOTAL'!$K117,PARAMETROS!$E:BD,9,0)</f>
        <v>146.80740454545455</v>
      </c>
      <c r="X117" s="442">
        <f>VLOOKUP('BANCO DADOS-CUSTO TOTAL'!$K117,PARAMETROS!$E:BE,10,0)</f>
        <v>47.357227272727279</v>
      </c>
      <c r="Y117" s="443">
        <f t="shared" ref="Y117:Y120" si="168">TRUNC(SUM(Q117:X117),2)</f>
        <v>2277.88</v>
      </c>
      <c r="Z117" s="456"/>
      <c r="AA117" s="444">
        <v>30</v>
      </c>
      <c r="AB117" s="445">
        <f>IF(J117="EFETIVO",IF(AND(L117="",M117=""),$M$5,IF(AND(L117&lt;&gt;"",M117&lt;&gt;"",MONTH(L117)=MONTH(M117),YEAR(L117)=YEAR(M117)),M117-L117+1,IF(AND(L117&lt;&gt;"",M117&lt;&gt;"",MONTH(L117)&lt;&gt;MONTH(M117)),DAY(M117),IF(AND(L117="",M117&lt;&gt;"",MONTH($H$5)=MONTH(M117),YEAR(M117)=YEAR($H$5)),M117-$K$5+1,IF(AND(L117&lt;&gt;"",M117="",MONTH($K$5)=MONTH(L117),YEAR($K$5)=YEAR(L117)),30-DAY(L117)+1,$M$5))))),0)</f>
        <v>30</v>
      </c>
      <c r="AC117" s="446">
        <f>(Y117/30)*(AA117-Z117)</f>
        <v>2277.88</v>
      </c>
      <c r="AD117" s="447">
        <f>Y117</f>
        <v>2277.88</v>
      </c>
      <c r="AE117" s="447">
        <f>IF(AND(J117="EFETIVO",N117="FÉRIAS"),AD117,IF(J117="EFETIVO",AC117,0))</f>
        <v>2277.88</v>
      </c>
      <c r="AF117" s="443">
        <f>IF(J117="EFETIVO",VLOOKUP(K117,PARAMETROS!$E:AX,11,0),0)</f>
        <v>112.9</v>
      </c>
      <c r="AG117" s="443">
        <f>VLOOKUP(H117,'VA E VT - APOIO.LIMPEZA'!F:AX,14,0)</f>
        <v>223.06049999999999</v>
      </c>
      <c r="AH117" s="443">
        <f>VLOOKUP($H117,'VA E VT - APOIO.LIMPEZA'!$F:AY,20,0)</f>
        <v>18.528400000000005</v>
      </c>
      <c r="AI117" s="443">
        <f>IF($J117="EFETIVO",VLOOKUP($K117,PARAMETROS!$E:BA,14,0),0)</f>
        <v>91.08</v>
      </c>
      <c r="AJ117" s="443">
        <f>IF($J117="EFETIVO",VLOOKUP($K117,PARAMETROS!$E:BB,15,0),0)</f>
        <v>17.03</v>
      </c>
      <c r="AK117" s="443"/>
      <c r="AL117" s="443"/>
      <c r="AM117" s="443"/>
      <c r="AN117" s="443"/>
      <c r="AO117" s="448">
        <f t="shared" ref="AO117:AO120" si="169">SUM(AF117:AN117)</f>
        <v>462.59890000000007</v>
      </c>
      <c r="AP117" s="443">
        <f>IF($J117="EFETIVO",VLOOKUP($K117,PARAMETROS!$E:BH,20,0),0)</f>
        <v>62.37</v>
      </c>
      <c r="AQ117" s="446"/>
      <c r="AR117" s="443">
        <f>IF($J117="EFETIVO",VLOOKUP($K117,PARAMETROS!$E:BJ,22,0),0)</f>
        <v>58.53</v>
      </c>
      <c r="AS117" s="446"/>
      <c r="AT117" s="448">
        <f t="shared" ref="AT117:AT120" si="170">(AP117+AQ117+AR117+AS117)</f>
        <v>120.9</v>
      </c>
      <c r="AU117" s="448">
        <f>$AU$10*AC117</f>
        <v>838.25984000000005</v>
      </c>
      <c r="AV117" s="448">
        <f t="shared" ref="AV117:BB120" si="171">IF($J117="EFETIVO",$Y117*AV$10,0)</f>
        <v>4.1001840000000005</v>
      </c>
      <c r="AW117" s="448">
        <f t="shared" si="171"/>
        <v>11.3894</v>
      </c>
      <c r="AX117" s="448">
        <f t="shared" si="171"/>
        <v>0.91115200000000007</v>
      </c>
      <c r="AY117" s="448">
        <f t="shared" si="171"/>
        <v>0.45557600000000004</v>
      </c>
      <c r="AZ117" s="448">
        <f t="shared" si="171"/>
        <v>7.9725800000000007</v>
      </c>
      <c r="BA117" s="448">
        <f t="shared" si="171"/>
        <v>2.9339094400000003</v>
      </c>
      <c r="BB117" s="448">
        <f t="shared" si="171"/>
        <v>3.8723960000000002</v>
      </c>
      <c r="BC117" s="448">
        <f t="shared" ref="BC117:BC120" si="172">TRUNC(SUM(AW117:BB117),2)</f>
        <v>27.53</v>
      </c>
      <c r="BD117" s="448">
        <f t="shared" ref="BD117:BH120" si="173">IF($J117="EFETIVO",$Y117*BD$10,0)</f>
        <v>31.662531999999999</v>
      </c>
      <c r="BE117" s="448">
        <f t="shared" si="173"/>
        <v>19.134191999999999</v>
      </c>
      <c r="BF117" s="448">
        <f t="shared" si="173"/>
        <v>7.517004</v>
      </c>
      <c r="BG117" s="448">
        <f t="shared" si="173"/>
        <v>0</v>
      </c>
      <c r="BH117" s="448">
        <f t="shared" si="173"/>
        <v>21.459451904000002</v>
      </c>
      <c r="BI117" s="448">
        <f t="shared" ref="BI117:BI120" si="174">TRUNC(SUM(BD117:BH117),2)</f>
        <v>79.77</v>
      </c>
      <c r="BJ117" s="448">
        <f t="shared" ref="BJ117:BJ120" si="175">TRUNC((BI117+BC117+AV117+AU117),2)</f>
        <v>949.66</v>
      </c>
      <c r="BK117" s="448">
        <f>IF($N117="FÉRIAS",$AD117*$BK$10,IF($AB117&gt;=15,$AD117*$BK$10,0))</f>
        <v>189.74740400000002</v>
      </c>
      <c r="BL117" s="448">
        <f>IF($N117="FÉRIAS",$AD117*$BL$10,IF($AB117&gt;=15,$AD117*$BL$10,0))</f>
        <v>253.07246800000001</v>
      </c>
      <c r="BM117" s="448">
        <f>$BM$10*BK117</f>
        <v>69.827044672</v>
      </c>
      <c r="BN117" s="448">
        <f>$BN$10*BL117</f>
        <v>93.130668224000004</v>
      </c>
      <c r="BO117" s="448">
        <f>$BO$10*AE117</f>
        <v>97.94883999999999</v>
      </c>
      <c r="BP117" s="448"/>
      <c r="BQ117" s="448">
        <f t="shared" ref="BQ117:BQ120" si="176">TRUNC(SUM(BK117:BP117),2)</f>
        <v>703.72</v>
      </c>
      <c r="BR117" s="448">
        <f t="shared" ref="BR117:BR120" si="177">TRUNC((BJ117+BQ117),2)</f>
        <v>1653.38</v>
      </c>
      <c r="BS117" s="448">
        <f t="shared" ref="BS117:BT120" si="178">IF($J117="EFETIVO",BS$10,0)</f>
        <v>288.66000000000003</v>
      </c>
      <c r="BT117" s="448">
        <f t="shared" si="178"/>
        <v>346.26</v>
      </c>
      <c r="BU117" s="448">
        <f>((AC117+AO117+AT117+BJ117+BS117+BT117)*E117)</f>
        <v>266.31293811000006</v>
      </c>
      <c r="BV117" s="448">
        <f>BQ117*E117</f>
        <v>42.152828</v>
      </c>
      <c r="BW117" s="448">
        <f>SUM(BU117:BV117)</f>
        <v>308.46576611000006</v>
      </c>
      <c r="BX117" s="448">
        <f>BS117+BT117+BW117</f>
        <v>943.38576611000008</v>
      </c>
      <c r="BY117" s="448">
        <f t="shared" ref="BY117:BY120" si="179">(AC117+AO117+AT117+BJ117+BX117)</f>
        <v>4754.4246661100005</v>
      </c>
      <c r="BZ117" s="448">
        <f>BQ117</f>
        <v>703.72</v>
      </c>
      <c r="CA117" s="448">
        <f>BY117+BZ117</f>
        <v>5458.1446661100008</v>
      </c>
      <c r="CB117" s="449"/>
    </row>
    <row r="118" spans="1:80" s="450" customFormat="1" ht="15.75" customHeight="1">
      <c r="A118" s="435">
        <v>1</v>
      </c>
      <c r="B118" s="435">
        <v>1</v>
      </c>
      <c r="C118" s="435" t="s">
        <v>3277</v>
      </c>
      <c r="D118" s="436">
        <f>VLOOKUP(C118,ISS!A:B,2,0)</f>
        <v>0.02</v>
      </c>
      <c r="E118" s="437">
        <f>IF(D118=2%,5.99%,IF(D118=2.5%,6.55%,IF(D118=3%,7.12%,IF(D118=3.5%,7.7%,IF(D118=4%,8.28%,IF(D118=5%,9.46%))))))</f>
        <v>5.9900000000000002E-2</v>
      </c>
      <c r="F118" s="438">
        <v>81</v>
      </c>
      <c r="G118" s="439">
        <v>12421</v>
      </c>
      <c r="H118" s="440" t="s">
        <v>4015</v>
      </c>
      <c r="I118" s="435" t="s">
        <v>3848</v>
      </c>
      <c r="J118" s="102" t="s">
        <v>3521</v>
      </c>
      <c r="K118" s="435" t="str">
        <f>CONCATENATE(C118,I118)</f>
        <v>Santa LuziaVIGILANTE ARMADO - 12X36 DIURNO</v>
      </c>
      <c r="L118" s="441" t="s">
        <v>3875</v>
      </c>
      <c r="M118" s="441"/>
      <c r="N118" s="102"/>
      <c r="O118" s="102"/>
      <c r="P118" s="102"/>
      <c r="Q118" s="442">
        <f>VLOOKUP('BANCO DADOS-CUSTO TOTAL'!$K118,PARAMETROS!$E:AX,3,0)</f>
        <v>1602.86</v>
      </c>
      <c r="R118" s="442">
        <f>VLOOKUP('BANCO DADOS-CUSTO TOTAL'!$K118,PARAMETROS!$E:AY,4,0)</f>
        <v>0</v>
      </c>
      <c r="S118" s="442">
        <f>VLOOKUP('BANCO DADOS-CUSTO TOTAL'!$K118,PARAMETROS!$E:AZ,5,0)</f>
        <v>480.85799999999995</v>
      </c>
      <c r="T118" s="442">
        <f>VLOOKUP('BANCO DADOS-CUSTO TOTAL'!$K118,PARAMETROS!$E:BA,6,0)</f>
        <v>0</v>
      </c>
      <c r="U118" s="442">
        <f>VLOOKUP('BANCO DADOS-CUSTO TOTAL'!$K118,PARAMETROS!$E:BB,7,0)</f>
        <v>0</v>
      </c>
      <c r="V118" s="442">
        <f>VLOOKUP('BANCO DADOS-CUSTO TOTAL'!$K118,PARAMETROS!$E:BC,8,0)</f>
        <v>0</v>
      </c>
      <c r="W118" s="442">
        <f>VLOOKUP('BANCO DADOS-CUSTO TOTAL'!$K118,PARAMETROS!$E:BD,9,0)</f>
        <v>146.80740454545455</v>
      </c>
      <c r="X118" s="442">
        <f>VLOOKUP('BANCO DADOS-CUSTO TOTAL'!$K118,PARAMETROS!$E:BE,10,0)</f>
        <v>47.357227272727279</v>
      </c>
      <c r="Y118" s="443">
        <f t="shared" si="168"/>
        <v>2277.88</v>
      </c>
      <c r="Z118" s="456"/>
      <c r="AA118" s="444">
        <v>30</v>
      </c>
      <c r="AB118" s="445">
        <f>IF(J118="EFETIVO",IF(AND(L118="",M118=""),$M$5,IF(AND(L118&lt;&gt;"",M118&lt;&gt;"",MONTH(L118)=MONTH(M118),YEAR(L118)=YEAR(M118)),M118-L118+1,IF(AND(L118&lt;&gt;"",M118&lt;&gt;"",MONTH(L118)&lt;&gt;MONTH(M118)),DAY(M118),IF(AND(L118="",M118&lt;&gt;"",MONTH($H$5)=MONTH(M118),YEAR(M118)=YEAR($H$5)),M118-$K$5+1,IF(AND(L118&lt;&gt;"",M118="",MONTH($K$5)=MONTH(L118),YEAR($K$5)=YEAR(L118)),30-DAY(L118)+1,$M$5))))),0)</f>
        <v>30</v>
      </c>
      <c r="AC118" s="446">
        <f>(Y118/30)*(AA118-Z118)</f>
        <v>2277.88</v>
      </c>
      <c r="AD118" s="447">
        <f>Y118</f>
        <v>2277.88</v>
      </c>
      <c r="AE118" s="447">
        <f>IF(AND(J118="EFETIVO",N118="FÉRIAS"),AD118,IF(J118="EFETIVO",AC118,0))</f>
        <v>2277.88</v>
      </c>
      <c r="AF118" s="443">
        <f>IF(J118="EFETIVO",VLOOKUP(K118,PARAMETROS!$E:AX,11,0),0)</f>
        <v>112.9</v>
      </c>
      <c r="AG118" s="443">
        <f>VLOOKUP(H118,'VA E VT - APOIO.LIMPEZA'!F:AX,14,0)</f>
        <v>223.06049999999999</v>
      </c>
      <c r="AH118" s="443">
        <f>VLOOKUP($H118,'VA E VT - APOIO.LIMPEZA'!$F:AY,20,0)</f>
        <v>18.528400000000005</v>
      </c>
      <c r="AI118" s="443">
        <f>IF($J118="EFETIVO",VLOOKUP($K118,PARAMETROS!$E:BA,14,0),0)</f>
        <v>91.08</v>
      </c>
      <c r="AJ118" s="443">
        <f>IF($J118="EFETIVO",VLOOKUP($K118,PARAMETROS!$E:BB,15,0),0)</f>
        <v>17.03</v>
      </c>
      <c r="AK118" s="443"/>
      <c r="AL118" s="443"/>
      <c r="AM118" s="443"/>
      <c r="AN118" s="443"/>
      <c r="AO118" s="448">
        <f t="shared" si="169"/>
        <v>462.59890000000007</v>
      </c>
      <c r="AP118" s="443">
        <f>IF($J118="EFETIVO",VLOOKUP($K118,PARAMETROS!$E:BH,20,0),0)</f>
        <v>62.37</v>
      </c>
      <c r="AQ118" s="446"/>
      <c r="AR118" s="443">
        <f>IF($J118="EFETIVO",VLOOKUP($K118,PARAMETROS!$E:BJ,22,0),0)</f>
        <v>58.53</v>
      </c>
      <c r="AS118" s="446"/>
      <c r="AT118" s="448">
        <f t="shared" si="170"/>
        <v>120.9</v>
      </c>
      <c r="AU118" s="448">
        <f>$AU$10*AC118</f>
        <v>838.25984000000005</v>
      </c>
      <c r="AV118" s="448">
        <f t="shared" si="171"/>
        <v>4.1001840000000005</v>
      </c>
      <c r="AW118" s="448">
        <f t="shared" si="171"/>
        <v>11.3894</v>
      </c>
      <c r="AX118" s="448">
        <f t="shared" si="171"/>
        <v>0.91115200000000007</v>
      </c>
      <c r="AY118" s="448">
        <f t="shared" si="171"/>
        <v>0.45557600000000004</v>
      </c>
      <c r="AZ118" s="448">
        <f t="shared" si="171"/>
        <v>7.9725800000000007</v>
      </c>
      <c r="BA118" s="448">
        <f t="shared" si="171"/>
        <v>2.9339094400000003</v>
      </c>
      <c r="BB118" s="448">
        <f t="shared" si="171"/>
        <v>3.8723960000000002</v>
      </c>
      <c r="BC118" s="448">
        <f t="shared" si="172"/>
        <v>27.53</v>
      </c>
      <c r="BD118" s="448">
        <f t="shared" si="173"/>
        <v>31.662531999999999</v>
      </c>
      <c r="BE118" s="448">
        <f t="shared" si="173"/>
        <v>19.134191999999999</v>
      </c>
      <c r="BF118" s="448">
        <f t="shared" si="173"/>
        <v>7.517004</v>
      </c>
      <c r="BG118" s="448">
        <f t="shared" si="173"/>
        <v>0</v>
      </c>
      <c r="BH118" s="448">
        <f t="shared" si="173"/>
        <v>21.459451904000002</v>
      </c>
      <c r="BI118" s="448">
        <f t="shared" si="174"/>
        <v>79.77</v>
      </c>
      <c r="BJ118" s="448">
        <f t="shared" si="175"/>
        <v>949.66</v>
      </c>
      <c r="BK118" s="448">
        <f>IF($N118="FÉRIAS",$AD118*$BK$10,IF($AB118&gt;=15,$AD118*$BK$10,0))</f>
        <v>189.74740400000002</v>
      </c>
      <c r="BL118" s="448">
        <f>IF($N118="FÉRIAS",$AD118*$BL$10,IF($AB118&gt;=15,$AD118*$BL$10,0))</f>
        <v>253.07246800000001</v>
      </c>
      <c r="BM118" s="448">
        <f>$BM$10*BK118</f>
        <v>69.827044672</v>
      </c>
      <c r="BN118" s="448">
        <f>$BN$10*BL118</f>
        <v>93.130668224000004</v>
      </c>
      <c r="BO118" s="448">
        <f>$BO$10*AE118</f>
        <v>97.94883999999999</v>
      </c>
      <c r="BP118" s="448"/>
      <c r="BQ118" s="448">
        <f t="shared" si="176"/>
        <v>703.72</v>
      </c>
      <c r="BR118" s="448">
        <f t="shared" si="177"/>
        <v>1653.38</v>
      </c>
      <c r="BS118" s="448">
        <f t="shared" si="178"/>
        <v>288.66000000000003</v>
      </c>
      <c r="BT118" s="448">
        <f t="shared" si="178"/>
        <v>346.26</v>
      </c>
      <c r="BU118" s="448">
        <f>((AC118+AO118+AT118+BJ118+BS118+BT118)*E118)</f>
        <v>266.31293811000006</v>
      </c>
      <c r="BV118" s="448">
        <f>BQ118*E118</f>
        <v>42.152828</v>
      </c>
      <c r="BW118" s="448">
        <f>SUM(BU118:BV118)</f>
        <v>308.46576611000006</v>
      </c>
      <c r="BX118" s="448">
        <f>BS118+BT118+BW118</f>
        <v>943.38576611000008</v>
      </c>
      <c r="BY118" s="448">
        <f t="shared" si="179"/>
        <v>4754.4246661100005</v>
      </c>
      <c r="BZ118" s="448">
        <f>BQ118</f>
        <v>703.72</v>
      </c>
      <c r="CA118" s="448">
        <f>BY118+BZ118</f>
        <v>5458.1446661100008</v>
      </c>
      <c r="CB118" s="449"/>
    </row>
    <row r="119" spans="1:80" s="450" customFormat="1" ht="15.75" customHeight="1">
      <c r="A119" s="435">
        <v>1</v>
      </c>
      <c r="B119" s="435">
        <v>1</v>
      </c>
      <c r="C119" s="435" t="s">
        <v>3277</v>
      </c>
      <c r="D119" s="436">
        <f>VLOOKUP(C119,ISS!A:B,2,0)</f>
        <v>0.02</v>
      </c>
      <c r="E119" s="437">
        <f>IF(D119=2%,5.99%,IF(D119=2.5%,6.55%,IF(D119=3%,7.12%,IF(D119=3.5%,7.7%,IF(D119=4%,8.28%,IF(D119=5%,9.46%))))))</f>
        <v>5.9900000000000002E-2</v>
      </c>
      <c r="F119" s="438">
        <v>82</v>
      </c>
      <c r="G119" s="439">
        <v>12422</v>
      </c>
      <c r="H119" s="440" t="s">
        <v>4016</v>
      </c>
      <c r="I119" s="435" t="s">
        <v>3850</v>
      </c>
      <c r="J119" s="102" t="s">
        <v>3521</v>
      </c>
      <c r="K119" s="435" t="str">
        <f t="shared" si="38"/>
        <v>Santa LuziaVIGILANTE ARMADO - 12X36 NOTURNO</v>
      </c>
      <c r="L119" s="441" t="s">
        <v>3875</v>
      </c>
      <c r="M119" s="441"/>
      <c r="N119" s="102"/>
      <c r="O119" s="102"/>
      <c r="P119" s="102"/>
      <c r="Q119" s="442">
        <f>VLOOKUP('BANCO DADOS-CUSTO TOTAL'!$K119,PARAMETROS!$E:AX,3,0)</f>
        <v>1602.86</v>
      </c>
      <c r="R119" s="442">
        <f>VLOOKUP('BANCO DADOS-CUSTO TOTAL'!$K119,PARAMETROS!$E:AY,4,0)</f>
        <v>0</v>
      </c>
      <c r="S119" s="442">
        <f>VLOOKUP('BANCO DADOS-CUSTO TOTAL'!$K119,PARAMETROS!$E:AZ,5,0)</f>
        <v>480.85799999999995</v>
      </c>
      <c r="T119" s="442">
        <f>VLOOKUP('BANCO DADOS-CUSTO TOTAL'!$K119,PARAMETROS!$E:BA,6,0)</f>
        <v>411.06073272727275</v>
      </c>
      <c r="U119" s="442">
        <f>VLOOKUP('BANCO DADOS-CUSTO TOTAL'!$K119,PARAMETROS!$E:BB,7,0)</f>
        <v>0</v>
      </c>
      <c r="V119" s="442">
        <f>VLOOKUP('BANCO DADOS-CUSTO TOTAL'!$K119,PARAMETROS!$E:BC,8,0)</f>
        <v>0</v>
      </c>
      <c r="W119" s="442">
        <f>VLOOKUP('BANCO DADOS-CUSTO TOTAL'!$K119,PARAMETROS!$E:BD,9,0)</f>
        <v>175.76850162396693</v>
      </c>
      <c r="X119" s="442">
        <f>VLOOKUP('BANCO DADOS-CUSTO TOTAL'!$K119,PARAMETROS!$E:BE,10,0)</f>
        <v>47.357227272727279</v>
      </c>
      <c r="Y119" s="443">
        <f t="shared" si="168"/>
        <v>2717.9</v>
      </c>
      <c r="Z119" s="456"/>
      <c r="AA119" s="444">
        <v>30</v>
      </c>
      <c r="AB119" s="445">
        <f>IF(J119="EFETIVO",IF(AND(L119="",M119=""),$M$5,IF(AND(L119&lt;&gt;"",M119&lt;&gt;"",MONTH(L119)=MONTH(M119),YEAR(L119)=YEAR(M119)),M119-L119+1,IF(AND(L119&lt;&gt;"",M119&lt;&gt;"",MONTH(L119)&lt;&gt;MONTH(M119)),DAY(M119),IF(AND(L119="",M119&lt;&gt;"",MONTH($H$5)=MONTH(M119),YEAR(M119)=YEAR($H$5)),M119-$K$5+1,IF(AND(L119&lt;&gt;"",M119="",MONTH($K$5)=MONTH(L119),YEAR($K$5)=YEAR(L119)),30-DAY(L119)+1,$M$5))))),0)</f>
        <v>30</v>
      </c>
      <c r="AC119" s="446">
        <f>(Y119/30)*(AA119-Z119)</f>
        <v>2717.9</v>
      </c>
      <c r="AD119" s="447">
        <f>Y119</f>
        <v>2717.9</v>
      </c>
      <c r="AE119" s="447">
        <f>IF(AND(J119="EFETIVO",N119="FÉRIAS"),AD119,IF(J119="EFETIVO",AC119,0))</f>
        <v>2717.9</v>
      </c>
      <c r="AF119" s="443">
        <f>IF(J119="EFETIVO",VLOOKUP(K119,PARAMETROS!$E:AX,11,0),0)</f>
        <v>112.9</v>
      </c>
      <c r="AG119" s="443">
        <f>VLOOKUP(H119,'VA E VT - APOIO.LIMPEZA'!F:AX,14,0)</f>
        <v>223.06049999999999</v>
      </c>
      <c r="AH119" s="443">
        <f>VLOOKUP($H119,'VA E VT - APOIO.LIMPEZA'!$F:AY,20,0)</f>
        <v>18.528400000000005</v>
      </c>
      <c r="AI119" s="443">
        <f>IF($J119="EFETIVO",VLOOKUP($K119,PARAMETROS!$E:BA,14,0),0)</f>
        <v>91.08</v>
      </c>
      <c r="AJ119" s="443">
        <f>IF($J119="EFETIVO",VLOOKUP($K119,PARAMETROS!$E:BB,15,0),0)</f>
        <v>17.03</v>
      </c>
      <c r="AK119" s="443"/>
      <c r="AL119" s="443"/>
      <c r="AM119" s="443"/>
      <c r="AN119" s="443"/>
      <c r="AO119" s="448">
        <f t="shared" si="169"/>
        <v>462.59890000000007</v>
      </c>
      <c r="AP119" s="443">
        <f>IF($J119="EFETIVO",VLOOKUP($K119,PARAMETROS!$E:BH,20,0),0)</f>
        <v>62.37</v>
      </c>
      <c r="AQ119" s="446"/>
      <c r="AR119" s="443">
        <f>IF($J119="EFETIVO",VLOOKUP($K119,PARAMETROS!$E:BJ,22,0),0)</f>
        <v>58.53</v>
      </c>
      <c r="AS119" s="446"/>
      <c r="AT119" s="448">
        <f t="shared" si="170"/>
        <v>120.9</v>
      </c>
      <c r="AU119" s="448">
        <f>$AU$10*AC119</f>
        <v>1000.1872</v>
      </c>
      <c r="AV119" s="448">
        <f t="shared" si="171"/>
        <v>4.89222</v>
      </c>
      <c r="AW119" s="448">
        <f t="shared" si="171"/>
        <v>13.589500000000001</v>
      </c>
      <c r="AX119" s="448">
        <f t="shared" si="171"/>
        <v>1.0871600000000001</v>
      </c>
      <c r="AY119" s="448">
        <f t="shared" si="171"/>
        <v>0.54358000000000006</v>
      </c>
      <c r="AZ119" s="448">
        <f t="shared" si="171"/>
        <v>9.5126500000000007</v>
      </c>
      <c r="BA119" s="448">
        <f t="shared" si="171"/>
        <v>3.5006552000000002</v>
      </c>
      <c r="BB119" s="448">
        <f t="shared" si="171"/>
        <v>4.6204299999999998</v>
      </c>
      <c r="BC119" s="448">
        <f t="shared" si="172"/>
        <v>32.85</v>
      </c>
      <c r="BD119" s="448">
        <f t="shared" si="173"/>
        <v>37.77881</v>
      </c>
      <c r="BE119" s="448">
        <f t="shared" si="173"/>
        <v>22.830359999999999</v>
      </c>
      <c r="BF119" s="448">
        <f t="shared" si="173"/>
        <v>8.9690700000000003</v>
      </c>
      <c r="BG119" s="448">
        <f t="shared" si="173"/>
        <v>0</v>
      </c>
      <c r="BH119" s="448">
        <f t="shared" si="173"/>
        <v>25.604792320000001</v>
      </c>
      <c r="BI119" s="448">
        <f t="shared" si="174"/>
        <v>95.18</v>
      </c>
      <c r="BJ119" s="448">
        <f t="shared" si="175"/>
        <v>1133.0999999999999</v>
      </c>
      <c r="BK119" s="448">
        <f>IF($N119="FÉRIAS",$AD119*$BK$10,IF($AB119&gt;=15,$AD119*$BK$10,0))</f>
        <v>226.40107</v>
      </c>
      <c r="BL119" s="448">
        <f>IF($N119="FÉRIAS",$AD119*$BL$10,IF($AB119&gt;=15,$AD119*$BL$10,0))</f>
        <v>301.95869000000005</v>
      </c>
      <c r="BM119" s="448">
        <f>$BM$10*BK119</f>
        <v>83.315593759999999</v>
      </c>
      <c r="BN119" s="448">
        <f>$BN$10*BL119</f>
        <v>111.12079792000002</v>
      </c>
      <c r="BO119" s="448">
        <f>$BO$10*AE119</f>
        <v>116.86969999999999</v>
      </c>
      <c r="BP119" s="448"/>
      <c r="BQ119" s="448">
        <f t="shared" si="176"/>
        <v>839.66</v>
      </c>
      <c r="BR119" s="448">
        <f t="shared" si="177"/>
        <v>1972.76</v>
      </c>
      <c r="BS119" s="448">
        <f t="shared" si="178"/>
        <v>288.66000000000003</v>
      </c>
      <c r="BT119" s="448">
        <f t="shared" si="178"/>
        <v>346.26</v>
      </c>
      <c r="BU119" s="448">
        <f>((AC119+AO119+AT119+BJ119+BS119+BT119)*E119)</f>
        <v>303.65819211000002</v>
      </c>
      <c r="BV119" s="448">
        <f>BQ119*E119</f>
        <v>50.295634</v>
      </c>
      <c r="BW119" s="448">
        <f>SUM(BU119:BV119)</f>
        <v>353.95382611000002</v>
      </c>
      <c r="BX119" s="448">
        <f>BS119+BT119+BW119</f>
        <v>988.8738261100001</v>
      </c>
      <c r="BY119" s="448">
        <f t="shared" si="179"/>
        <v>5423.3727261100003</v>
      </c>
      <c r="BZ119" s="448">
        <f>BQ119</f>
        <v>839.66</v>
      </c>
      <c r="CA119" s="448">
        <f>BY119+BZ119</f>
        <v>6263.0327261100001</v>
      </c>
      <c r="CB119" s="449"/>
    </row>
    <row r="120" spans="1:80" s="450" customFormat="1" ht="15.75" customHeight="1">
      <c r="A120" s="435">
        <v>1</v>
      </c>
      <c r="B120" s="435">
        <v>1</v>
      </c>
      <c r="C120" s="435" t="s">
        <v>3277</v>
      </c>
      <c r="D120" s="436">
        <f>VLOOKUP(C120,ISS!A:B,2,0)</f>
        <v>0.02</v>
      </c>
      <c r="E120" s="437">
        <f>IF(D120=2%,5.99%,IF(D120=2.5%,6.55%,IF(D120=3%,7.12%,IF(D120=3.5%,7.7%,IF(D120=4%,8.28%,IF(D120=5%,9.46%))))))</f>
        <v>5.9900000000000002E-2</v>
      </c>
      <c r="F120" s="438">
        <v>83</v>
      </c>
      <c r="G120" s="439">
        <v>12423</v>
      </c>
      <c r="H120" s="440" t="s">
        <v>4017</v>
      </c>
      <c r="I120" s="435" t="s">
        <v>3850</v>
      </c>
      <c r="J120" s="102" t="s">
        <v>3521</v>
      </c>
      <c r="K120" s="435" t="str">
        <f>CONCATENATE(C120,I120)</f>
        <v>Santa LuziaVIGILANTE ARMADO - 12X36 NOTURNO</v>
      </c>
      <c r="L120" s="441" t="s">
        <v>3875</v>
      </c>
      <c r="M120" s="441"/>
      <c r="N120" s="102"/>
      <c r="O120" s="102"/>
      <c r="P120" s="102"/>
      <c r="Q120" s="442">
        <f>VLOOKUP('BANCO DADOS-CUSTO TOTAL'!$K120,PARAMETROS!$E:AX,3,0)</f>
        <v>1602.86</v>
      </c>
      <c r="R120" s="442">
        <f>VLOOKUP('BANCO DADOS-CUSTO TOTAL'!$K120,PARAMETROS!$E:AY,4,0)</f>
        <v>0</v>
      </c>
      <c r="S120" s="442">
        <f>VLOOKUP('BANCO DADOS-CUSTO TOTAL'!$K120,PARAMETROS!$E:AZ,5,0)</f>
        <v>480.85799999999995</v>
      </c>
      <c r="T120" s="442">
        <f>VLOOKUP('BANCO DADOS-CUSTO TOTAL'!$K120,PARAMETROS!$E:BA,6,0)</f>
        <v>411.06073272727275</v>
      </c>
      <c r="U120" s="442">
        <f>VLOOKUP('BANCO DADOS-CUSTO TOTAL'!$K120,PARAMETROS!$E:BB,7,0)</f>
        <v>0</v>
      </c>
      <c r="V120" s="442">
        <f>VLOOKUP('BANCO DADOS-CUSTO TOTAL'!$K120,PARAMETROS!$E:BC,8,0)</f>
        <v>0</v>
      </c>
      <c r="W120" s="442">
        <f>VLOOKUP('BANCO DADOS-CUSTO TOTAL'!$K120,PARAMETROS!$E:BD,9,0)</f>
        <v>175.76850162396693</v>
      </c>
      <c r="X120" s="442">
        <f>VLOOKUP('BANCO DADOS-CUSTO TOTAL'!$K120,PARAMETROS!$E:BE,10,0)</f>
        <v>47.357227272727279</v>
      </c>
      <c r="Y120" s="443">
        <f t="shared" si="168"/>
        <v>2717.9</v>
      </c>
      <c r="Z120" s="456"/>
      <c r="AA120" s="444">
        <v>30</v>
      </c>
      <c r="AB120" s="445">
        <f>IF(J120="EFETIVO",IF(AND(L120="",M120=""),$M$5,IF(AND(L120&lt;&gt;"",M120&lt;&gt;"",MONTH(L120)=MONTH(M120),YEAR(L120)=YEAR(M120)),M120-L120+1,IF(AND(L120&lt;&gt;"",M120&lt;&gt;"",MONTH(L120)&lt;&gt;MONTH(M120)),DAY(M120),IF(AND(L120="",M120&lt;&gt;"",MONTH($H$5)=MONTH(M120),YEAR(M120)=YEAR($H$5)),M120-$K$5+1,IF(AND(L120&lt;&gt;"",M120="",MONTH($K$5)=MONTH(L120),YEAR($K$5)=YEAR(L120)),30-DAY(L120)+1,$M$5))))),0)</f>
        <v>30</v>
      </c>
      <c r="AC120" s="446">
        <f>(Y120/30)*(AA120-Z120)</f>
        <v>2717.9</v>
      </c>
      <c r="AD120" s="447">
        <f>Y120</f>
        <v>2717.9</v>
      </c>
      <c r="AE120" s="447">
        <f>IF(AND(J120="EFETIVO",N120="FÉRIAS"),AD120,IF(J120="EFETIVO",AC120,0))</f>
        <v>2717.9</v>
      </c>
      <c r="AF120" s="443">
        <f>IF(J120="EFETIVO",VLOOKUP(K120,PARAMETROS!$E:AX,11,0),0)</f>
        <v>112.9</v>
      </c>
      <c r="AG120" s="443">
        <f>VLOOKUP(H120,'VA E VT - APOIO.LIMPEZA'!F:AX,14,0)</f>
        <v>223.06049999999999</v>
      </c>
      <c r="AH120" s="443">
        <f>VLOOKUP($H120,'VA E VT - APOIO.LIMPEZA'!$F:AY,20,0)</f>
        <v>18.528400000000005</v>
      </c>
      <c r="AI120" s="443">
        <f>IF($J120="EFETIVO",VLOOKUP($K120,PARAMETROS!$E:BA,14,0),0)</f>
        <v>91.08</v>
      </c>
      <c r="AJ120" s="443">
        <f>IF($J120="EFETIVO",VLOOKUP($K120,PARAMETROS!$E:BB,15,0),0)</f>
        <v>17.03</v>
      </c>
      <c r="AK120" s="443"/>
      <c r="AL120" s="443"/>
      <c r="AM120" s="443"/>
      <c r="AN120" s="443"/>
      <c r="AO120" s="448">
        <f t="shared" si="169"/>
        <v>462.59890000000007</v>
      </c>
      <c r="AP120" s="443">
        <f>IF($J120="EFETIVO",VLOOKUP($K120,PARAMETROS!$E:BH,20,0),0)</f>
        <v>62.37</v>
      </c>
      <c r="AQ120" s="446"/>
      <c r="AR120" s="443">
        <f>IF($J120="EFETIVO",VLOOKUP($K120,PARAMETROS!$E:BJ,22,0),0)</f>
        <v>58.53</v>
      </c>
      <c r="AS120" s="446"/>
      <c r="AT120" s="448">
        <f t="shared" si="170"/>
        <v>120.9</v>
      </c>
      <c r="AU120" s="448">
        <f>$AU$10*AC120</f>
        <v>1000.1872</v>
      </c>
      <c r="AV120" s="448">
        <f t="shared" si="171"/>
        <v>4.89222</v>
      </c>
      <c r="AW120" s="448">
        <f t="shared" si="171"/>
        <v>13.589500000000001</v>
      </c>
      <c r="AX120" s="448">
        <f t="shared" si="171"/>
        <v>1.0871600000000001</v>
      </c>
      <c r="AY120" s="448">
        <f t="shared" si="171"/>
        <v>0.54358000000000006</v>
      </c>
      <c r="AZ120" s="448">
        <f t="shared" si="171"/>
        <v>9.5126500000000007</v>
      </c>
      <c r="BA120" s="448">
        <f t="shared" si="171"/>
        <v>3.5006552000000002</v>
      </c>
      <c r="BB120" s="448">
        <f t="shared" si="171"/>
        <v>4.6204299999999998</v>
      </c>
      <c r="BC120" s="448">
        <f t="shared" si="172"/>
        <v>32.85</v>
      </c>
      <c r="BD120" s="448">
        <f t="shared" si="173"/>
        <v>37.77881</v>
      </c>
      <c r="BE120" s="448">
        <f t="shared" si="173"/>
        <v>22.830359999999999</v>
      </c>
      <c r="BF120" s="448">
        <f t="shared" si="173"/>
        <v>8.9690700000000003</v>
      </c>
      <c r="BG120" s="448">
        <f t="shared" si="173"/>
        <v>0</v>
      </c>
      <c r="BH120" s="448">
        <f t="shared" si="173"/>
        <v>25.604792320000001</v>
      </c>
      <c r="BI120" s="448">
        <f t="shared" si="174"/>
        <v>95.18</v>
      </c>
      <c r="BJ120" s="448">
        <f t="shared" si="175"/>
        <v>1133.0999999999999</v>
      </c>
      <c r="BK120" s="448">
        <f>IF($N120="FÉRIAS",$AD120*$BK$10,IF($AB120&gt;=15,$AD120*$BK$10,0))</f>
        <v>226.40107</v>
      </c>
      <c r="BL120" s="448">
        <f>IF($N120="FÉRIAS",$AD120*$BL$10,IF($AB120&gt;=15,$AD120*$BL$10,0))</f>
        <v>301.95869000000005</v>
      </c>
      <c r="BM120" s="448">
        <f>$BM$10*BK120</f>
        <v>83.315593759999999</v>
      </c>
      <c r="BN120" s="448">
        <f>$BN$10*BL120</f>
        <v>111.12079792000002</v>
      </c>
      <c r="BO120" s="448">
        <f>$BO$10*AE120</f>
        <v>116.86969999999999</v>
      </c>
      <c r="BP120" s="448"/>
      <c r="BQ120" s="448">
        <f t="shared" si="176"/>
        <v>839.66</v>
      </c>
      <c r="BR120" s="448">
        <f t="shared" si="177"/>
        <v>1972.76</v>
      </c>
      <c r="BS120" s="448">
        <f t="shared" si="178"/>
        <v>288.66000000000003</v>
      </c>
      <c r="BT120" s="448">
        <f t="shared" si="178"/>
        <v>346.26</v>
      </c>
      <c r="BU120" s="448">
        <f>((AC120+AO120+AT120+BJ120+BS120+BT120)*E120)</f>
        <v>303.65819211000002</v>
      </c>
      <c r="BV120" s="448">
        <f>BQ120*E120</f>
        <v>50.295634</v>
      </c>
      <c r="BW120" s="448">
        <f>SUM(BU120:BV120)</f>
        <v>353.95382611000002</v>
      </c>
      <c r="BX120" s="448">
        <f>BS120+BT120+BW120</f>
        <v>988.8738261100001</v>
      </c>
      <c r="BY120" s="448">
        <f t="shared" si="179"/>
        <v>5423.3727261100003</v>
      </c>
      <c r="BZ120" s="448">
        <f>BQ120</f>
        <v>839.66</v>
      </c>
      <c r="CA120" s="448">
        <f>BY120+BZ120</f>
        <v>6263.0327261100001</v>
      </c>
      <c r="CB120" s="449"/>
    </row>
    <row r="121" spans="1:80" s="480" customFormat="1" ht="15.75" customHeight="1">
      <c r="A121" s="462"/>
      <c r="B121" s="462"/>
      <c r="C121" s="462" t="s">
        <v>3904</v>
      </c>
      <c r="D121" s="463"/>
      <c r="E121" s="464"/>
      <c r="F121" s="465"/>
      <c r="G121" s="466"/>
      <c r="H121" s="467"/>
      <c r="I121" s="462"/>
      <c r="J121" s="468"/>
      <c r="K121" s="462"/>
      <c r="L121" s="469"/>
      <c r="M121" s="469"/>
      <c r="N121" s="468"/>
      <c r="O121" s="468"/>
      <c r="P121" s="468"/>
      <c r="Q121" s="470"/>
      <c r="R121" s="470"/>
      <c r="S121" s="470"/>
      <c r="T121" s="470"/>
      <c r="U121" s="470"/>
      <c r="V121" s="470"/>
      <c r="W121" s="470"/>
      <c r="X121" s="470"/>
      <c r="Y121" s="471"/>
      <c r="Z121" s="472"/>
      <c r="AA121" s="473"/>
      <c r="AB121" s="474"/>
      <c r="AC121" s="475"/>
      <c r="AD121" s="476"/>
      <c r="AE121" s="476"/>
      <c r="AF121" s="471">
        <f>SUBTOTAL(9,AF117:AF120)</f>
        <v>451.6</v>
      </c>
      <c r="AG121" s="471">
        <f t="shared" ref="AG121:CA121" si="180">SUBTOTAL(9,AG117:AG120)</f>
        <v>892.24199999999996</v>
      </c>
      <c r="AH121" s="471">
        <f t="shared" si="180"/>
        <v>74.113600000000019</v>
      </c>
      <c r="AI121" s="471">
        <f t="shared" si="180"/>
        <v>364.32</v>
      </c>
      <c r="AJ121" s="471">
        <f t="shared" si="180"/>
        <v>68.12</v>
      </c>
      <c r="AK121" s="471">
        <f t="shared" si="180"/>
        <v>0</v>
      </c>
      <c r="AL121" s="471">
        <f t="shared" si="180"/>
        <v>0</v>
      </c>
      <c r="AM121" s="471">
        <f t="shared" si="180"/>
        <v>0</v>
      </c>
      <c r="AN121" s="471">
        <f t="shared" si="180"/>
        <v>0</v>
      </c>
      <c r="AO121" s="471">
        <f t="shared" si="180"/>
        <v>1850.3956000000003</v>
      </c>
      <c r="AP121" s="471">
        <f t="shared" si="180"/>
        <v>249.48</v>
      </c>
      <c r="AQ121" s="471">
        <f t="shared" si="180"/>
        <v>0</v>
      </c>
      <c r="AR121" s="471">
        <f t="shared" si="180"/>
        <v>234.12</v>
      </c>
      <c r="AS121" s="471">
        <f t="shared" si="180"/>
        <v>0</v>
      </c>
      <c r="AT121" s="471">
        <f t="shared" si="180"/>
        <v>483.6</v>
      </c>
      <c r="AU121" s="471">
        <f t="shared" si="180"/>
        <v>3676.89408</v>
      </c>
      <c r="AV121" s="471">
        <f t="shared" si="180"/>
        <v>17.984808000000001</v>
      </c>
      <c r="AW121" s="471">
        <f t="shared" si="180"/>
        <v>49.957800000000006</v>
      </c>
      <c r="AX121" s="471">
        <f t="shared" si="180"/>
        <v>3.9966240000000006</v>
      </c>
      <c r="AY121" s="471">
        <f t="shared" si="180"/>
        <v>1.9983120000000003</v>
      </c>
      <c r="AZ121" s="471">
        <f t="shared" si="180"/>
        <v>34.970460000000003</v>
      </c>
      <c r="BA121" s="471">
        <f t="shared" si="180"/>
        <v>12.869129280000001</v>
      </c>
      <c r="BB121" s="471">
        <f t="shared" si="180"/>
        <v>16.985651999999998</v>
      </c>
      <c r="BC121" s="471">
        <f t="shared" si="180"/>
        <v>120.75999999999999</v>
      </c>
      <c r="BD121" s="471">
        <f t="shared" si="180"/>
        <v>138.88268399999998</v>
      </c>
      <c r="BE121" s="471">
        <f t="shared" si="180"/>
        <v>83.929103999999995</v>
      </c>
      <c r="BF121" s="471">
        <f t="shared" si="180"/>
        <v>32.972148000000004</v>
      </c>
      <c r="BG121" s="471">
        <f t="shared" si="180"/>
        <v>0</v>
      </c>
      <c r="BH121" s="471">
        <f t="shared" si="180"/>
        <v>94.128488448000013</v>
      </c>
      <c r="BI121" s="471">
        <f t="shared" si="180"/>
        <v>349.9</v>
      </c>
      <c r="BJ121" s="471">
        <f t="shared" si="180"/>
        <v>4165.5200000000004</v>
      </c>
      <c r="BK121" s="471">
        <f t="shared" si="180"/>
        <v>832.29694800000004</v>
      </c>
      <c r="BL121" s="471">
        <f t="shared" si="180"/>
        <v>1110.062316</v>
      </c>
      <c r="BM121" s="471">
        <f t="shared" si="180"/>
        <v>306.28527686400002</v>
      </c>
      <c r="BN121" s="471">
        <f t="shared" si="180"/>
        <v>408.50293228800007</v>
      </c>
      <c r="BO121" s="471">
        <f t="shared" si="180"/>
        <v>429.63707999999997</v>
      </c>
      <c r="BP121" s="471">
        <f t="shared" si="180"/>
        <v>0</v>
      </c>
      <c r="BQ121" s="471">
        <f t="shared" si="180"/>
        <v>3086.7599999999998</v>
      </c>
      <c r="BR121" s="471">
        <f t="shared" si="180"/>
        <v>7252.2800000000007</v>
      </c>
      <c r="BS121" s="471">
        <f t="shared" si="180"/>
        <v>1154.6400000000001</v>
      </c>
      <c r="BT121" s="471">
        <f t="shared" si="180"/>
        <v>1385.04</v>
      </c>
      <c r="BU121" s="471">
        <f t="shared" si="180"/>
        <v>1139.9422604400002</v>
      </c>
      <c r="BV121" s="471">
        <f t="shared" si="180"/>
        <v>184.89692400000001</v>
      </c>
      <c r="BW121" s="471">
        <f t="shared" si="180"/>
        <v>1324.8391844400003</v>
      </c>
      <c r="BX121" s="471">
        <f t="shared" si="180"/>
        <v>3864.5191844400006</v>
      </c>
      <c r="BY121" s="471">
        <f t="shared" si="180"/>
        <v>20355.59478444</v>
      </c>
      <c r="BZ121" s="471">
        <f t="shared" si="180"/>
        <v>3086.7599999999998</v>
      </c>
      <c r="CA121" s="471">
        <f t="shared" si="180"/>
        <v>23442.354784440002</v>
      </c>
      <c r="CB121" s="479"/>
    </row>
    <row r="122" spans="1:80" s="450" customFormat="1" ht="15.75" customHeight="1">
      <c r="A122" s="435">
        <v>1</v>
      </c>
      <c r="B122" s="435">
        <v>1</v>
      </c>
      <c r="C122" s="435" t="s">
        <v>3842</v>
      </c>
      <c r="D122" s="436">
        <f>VLOOKUP(C122,ISS!A:B,2,0)</f>
        <v>0.05</v>
      </c>
      <c r="E122" s="437">
        <f>IF(D122=2%,5.99%,IF(D122=2.5%,6.55%,IF(D122=3%,7.12%,IF(D122=3.5%,7.7%,IF(D122=4%,8.28%,IF(D122=5%,9.46%))))))</f>
        <v>9.4600000000000004E-2</v>
      </c>
      <c r="F122" s="438">
        <v>84</v>
      </c>
      <c r="G122" s="439">
        <v>12424</v>
      </c>
      <c r="H122" s="440" t="s">
        <v>4018</v>
      </c>
      <c r="I122" s="435" t="s">
        <v>3848</v>
      </c>
      <c r="J122" s="102" t="s">
        <v>3521</v>
      </c>
      <c r="K122" s="435" t="str">
        <f t="shared" si="38"/>
        <v>São João Del ReiVIGILANTE ARMADO - 12X36 DIURNO</v>
      </c>
      <c r="L122" s="441" t="s">
        <v>3875</v>
      </c>
      <c r="M122" s="441"/>
      <c r="N122" s="102"/>
      <c r="O122" s="102"/>
      <c r="P122" s="102"/>
      <c r="Q122" s="442">
        <f>VLOOKUP('BANCO DADOS-CUSTO TOTAL'!$K122,PARAMETROS!$E:AX,3,0)</f>
        <v>1602.86</v>
      </c>
      <c r="R122" s="442">
        <f>VLOOKUP('BANCO DADOS-CUSTO TOTAL'!$K122,PARAMETROS!$E:AY,4,0)</f>
        <v>0</v>
      </c>
      <c r="S122" s="442">
        <f>VLOOKUP('BANCO DADOS-CUSTO TOTAL'!$K122,PARAMETROS!$E:AZ,5,0)</f>
        <v>480.85799999999995</v>
      </c>
      <c r="T122" s="442">
        <f>VLOOKUP('BANCO DADOS-CUSTO TOTAL'!$K122,PARAMETROS!$E:BA,6,0)</f>
        <v>0</v>
      </c>
      <c r="U122" s="442">
        <f>VLOOKUP('BANCO DADOS-CUSTO TOTAL'!$K122,PARAMETROS!$E:BB,7,0)</f>
        <v>0</v>
      </c>
      <c r="V122" s="442">
        <f>VLOOKUP('BANCO DADOS-CUSTO TOTAL'!$K122,PARAMETROS!$E:BC,8,0)</f>
        <v>0</v>
      </c>
      <c r="W122" s="442">
        <f>VLOOKUP('BANCO DADOS-CUSTO TOTAL'!$K122,PARAMETROS!$E:BD,9,0)</f>
        <v>146.80740454545455</v>
      </c>
      <c r="X122" s="442">
        <f>VLOOKUP('BANCO DADOS-CUSTO TOTAL'!$K122,PARAMETROS!$E:BE,10,0)</f>
        <v>47.357227272727279</v>
      </c>
      <c r="Y122" s="443">
        <f t="shared" ref="Y122:Y123" si="181">TRUNC(SUM(Q122:X122),2)</f>
        <v>2277.88</v>
      </c>
      <c r="Z122" s="456"/>
      <c r="AA122" s="444">
        <v>30</v>
      </c>
      <c r="AB122" s="445">
        <f>IF(J122="EFETIVO",IF(AND(L122="",M122=""),$M$5,IF(AND(L122&lt;&gt;"",M122&lt;&gt;"",MONTH(L122)=MONTH(M122),YEAR(L122)=YEAR(M122)),M122-L122+1,IF(AND(L122&lt;&gt;"",M122&lt;&gt;"",MONTH(L122)&lt;&gt;MONTH(M122)),DAY(M122),IF(AND(L122="",M122&lt;&gt;"",MONTH($H$5)=MONTH(M122),YEAR(M122)=YEAR($H$5)),M122-$K$5+1,IF(AND(L122&lt;&gt;"",M122="",MONTH($K$5)=MONTH(L122),YEAR($K$5)=YEAR(L122)),30-DAY(L122)+1,$M$5))))),0)</f>
        <v>30</v>
      </c>
      <c r="AC122" s="446">
        <f>(Y122/30)*(AA122-Z122)</f>
        <v>2277.88</v>
      </c>
      <c r="AD122" s="447">
        <f>Y122</f>
        <v>2277.88</v>
      </c>
      <c r="AE122" s="447">
        <f>IF(AND(J122="EFETIVO",N122="FÉRIAS"),AD122,IF(J122="EFETIVO",AC122,0))</f>
        <v>2277.88</v>
      </c>
      <c r="AF122" s="443">
        <f>IF(J122="EFETIVO",VLOOKUP(K122,PARAMETROS!$E:AX,11,0),0)</f>
        <v>112.9</v>
      </c>
      <c r="AG122" s="443">
        <f>VLOOKUP(H122,'VA E VT - APOIO.LIMPEZA'!F:AX,14,0)</f>
        <v>223.06049999999999</v>
      </c>
      <c r="AH122" s="443">
        <f>VLOOKUP($H122,'VA E VT - APOIO.LIMPEZA'!$F:AY,20,0)</f>
        <v>18.528400000000005</v>
      </c>
      <c r="AI122" s="443">
        <f>IF($J122="EFETIVO",VLOOKUP($K122,PARAMETROS!$E:BA,14,0),0)</f>
        <v>91.08</v>
      </c>
      <c r="AJ122" s="443">
        <f>IF($J122="EFETIVO",VLOOKUP($K122,PARAMETROS!$E:BB,15,0),0)</f>
        <v>17.03</v>
      </c>
      <c r="AK122" s="443"/>
      <c r="AL122" s="443"/>
      <c r="AM122" s="443"/>
      <c r="AN122" s="443"/>
      <c r="AO122" s="448">
        <f t="shared" ref="AO122:AO123" si="182">SUM(AF122:AN122)</f>
        <v>462.59890000000007</v>
      </c>
      <c r="AP122" s="443">
        <f>IF($J122="EFETIVO",VLOOKUP($K122,PARAMETROS!$E:BH,20,0),0)</f>
        <v>62.37</v>
      </c>
      <c r="AQ122" s="446"/>
      <c r="AR122" s="443">
        <f>IF($J122="EFETIVO",VLOOKUP($K122,PARAMETROS!$E:BJ,22,0),0)</f>
        <v>58.53</v>
      </c>
      <c r="AS122" s="446"/>
      <c r="AT122" s="448">
        <f t="shared" ref="AT122:AT123" si="183">(AP122+AQ122+AR122+AS122)</f>
        <v>120.9</v>
      </c>
      <c r="AU122" s="448">
        <f>$AU$10*AC122</f>
        <v>838.25984000000005</v>
      </c>
      <c r="AV122" s="448">
        <f t="shared" ref="AV122:BB123" si="184">IF($J122="EFETIVO",$Y122*AV$10,0)</f>
        <v>4.1001840000000005</v>
      </c>
      <c r="AW122" s="448">
        <f t="shared" si="184"/>
        <v>11.3894</v>
      </c>
      <c r="AX122" s="448">
        <f t="shared" si="184"/>
        <v>0.91115200000000007</v>
      </c>
      <c r="AY122" s="448">
        <f t="shared" si="184"/>
        <v>0.45557600000000004</v>
      </c>
      <c r="AZ122" s="448">
        <f t="shared" si="184"/>
        <v>7.9725800000000007</v>
      </c>
      <c r="BA122" s="448">
        <f t="shared" si="184"/>
        <v>2.9339094400000003</v>
      </c>
      <c r="BB122" s="448">
        <f t="shared" si="184"/>
        <v>3.8723960000000002</v>
      </c>
      <c r="BC122" s="448">
        <f t="shared" ref="BC122:BC123" si="185">TRUNC(SUM(AW122:BB122),2)</f>
        <v>27.53</v>
      </c>
      <c r="BD122" s="448">
        <f t="shared" ref="BD122:BH123" si="186">IF($J122="EFETIVO",$Y122*BD$10,0)</f>
        <v>31.662531999999999</v>
      </c>
      <c r="BE122" s="448">
        <f t="shared" si="186"/>
        <v>19.134191999999999</v>
      </c>
      <c r="BF122" s="448">
        <f t="shared" si="186"/>
        <v>7.517004</v>
      </c>
      <c r="BG122" s="448">
        <f t="shared" si="186"/>
        <v>0</v>
      </c>
      <c r="BH122" s="448">
        <f t="shared" si="186"/>
        <v>21.459451904000002</v>
      </c>
      <c r="BI122" s="448">
        <f t="shared" ref="BI122:BI123" si="187">TRUNC(SUM(BD122:BH122),2)</f>
        <v>79.77</v>
      </c>
      <c r="BJ122" s="448">
        <f t="shared" ref="BJ122:BJ123" si="188">TRUNC((BI122+BC122+AV122+AU122),2)</f>
        <v>949.66</v>
      </c>
      <c r="BK122" s="448">
        <f>IF($N122="FÉRIAS",$AD122*$BK$10,IF($AB122&gt;=15,$AD122*$BK$10,0))</f>
        <v>189.74740400000002</v>
      </c>
      <c r="BL122" s="448">
        <f>IF($N122="FÉRIAS",$AD122*$BL$10,IF($AB122&gt;=15,$AD122*$BL$10,0))</f>
        <v>253.07246800000001</v>
      </c>
      <c r="BM122" s="448">
        <f>$BM$10*BK122</f>
        <v>69.827044672</v>
      </c>
      <c r="BN122" s="448">
        <f>$BN$10*BL122</f>
        <v>93.130668224000004</v>
      </c>
      <c r="BO122" s="448">
        <f>$BO$10*AE122</f>
        <v>97.94883999999999</v>
      </c>
      <c r="BP122" s="448"/>
      <c r="BQ122" s="448">
        <f t="shared" ref="BQ122:BQ123" si="189">TRUNC(SUM(BK122:BP122),2)</f>
        <v>703.72</v>
      </c>
      <c r="BR122" s="448">
        <f t="shared" ref="BR122:BR123" si="190">TRUNC((BJ122+BQ122),2)</f>
        <v>1653.38</v>
      </c>
      <c r="BS122" s="448">
        <f>IF($J122="EFETIVO",BS$10,0)</f>
        <v>288.66000000000003</v>
      </c>
      <c r="BT122" s="448">
        <f>IF($J122="EFETIVO",BT$10,0)</f>
        <v>346.26</v>
      </c>
      <c r="BU122" s="448">
        <f>((AC122+AO122+AT122+BJ122+BS122+BT122)*E122)</f>
        <v>420.58771194000008</v>
      </c>
      <c r="BV122" s="448">
        <f>BQ122*E122</f>
        <v>66.571912000000012</v>
      </c>
      <c r="BW122" s="448">
        <f>SUM(BU122:BV122)</f>
        <v>487.15962394000007</v>
      </c>
      <c r="BX122" s="448">
        <f>BS122+BT122+BW122</f>
        <v>1122.0796239400001</v>
      </c>
      <c r="BY122" s="448">
        <f t="shared" ref="BY122:BY123" si="191">(AC122+AO122+AT122+BJ122+BX122)</f>
        <v>4933.1185239400002</v>
      </c>
      <c r="BZ122" s="448">
        <f>BQ122</f>
        <v>703.72</v>
      </c>
      <c r="CA122" s="448">
        <f>BY122+BZ122</f>
        <v>5636.8385239400004</v>
      </c>
      <c r="CB122" s="449"/>
    </row>
    <row r="123" spans="1:80" s="450" customFormat="1" ht="15.75" customHeight="1">
      <c r="A123" s="435">
        <v>1</v>
      </c>
      <c r="B123" s="435">
        <v>1</v>
      </c>
      <c r="C123" s="435" t="s">
        <v>3842</v>
      </c>
      <c r="D123" s="436">
        <f>VLOOKUP(C123,ISS!A:B,2,0)</f>
        <v>0.05</v>
      </c>
      <c r="E123" s="437">
        <f>IF(D123=2%,5.99%,IF(D123=2.5%,6.55%,IF(D123=3%,7.12%,IF(D123=3.5%,7.7%,IF(D123=4%,8.28%,IF(D123=5%,9.46%))))))</f>
        <v>9.4600000000000004E-2</v>
      </c>
      <c r="F123" s="438">
        <v>85</v>
      </c>
      <c r="G123" s="439">
        <v>12425</v>
      </c>
      <c r="H123" s="440" t="s">
        <v>4019</v>
      </c>
      <c r="I123" s="435" t="s">
        <v>3848</v>
      </c>
      <c r="J123" s="102" t="s">
        <v>3521</v>
      </c>
      <c r="K123" s="435" t="str">
        <f>CONCATENATE(C123,I123)</f>
        <v>São João Del ReiVIGILANTE ARMADO - 12X36 DIURNO</v>
      </c>
      <c r="L123" s="441" t="s">
        <v>3875</v>
      </c>
      <c r="M123" s="441"/>
      <c r="N123" s="102"/>
      <c r="O123" s="102"/>
      <c r="P123" s="102"/>
      <c r="Q123" s="442">
        <f>VLOOKUP('BANCO DADOS-CUSTO TOTAL'!$K123,PARAMETROS!$E:AX,3,0)</f>
        <v>1602.86</v>
      </c>
      <c r="R123" s="442">
        <f>VLOOKUP('BANCO DADOS-CUSTO TOTAL'!$K123,PARAMETROS!$E:AY,4,0)</f>
        <v>0</v>
      </c>
      <c r="S123" s="442">
        <f>VLOOKUP('BANCO DADOS-CUSTO TOTAL'!$K123,PARAMETROS!$E:AZ,5,0)</f>
        <v>480.85799999999995</v>
      </c>
      <c r="T123" s="442">
        <f>VLOOKUP('BANCO DADOS-CUSTO TOTAL'!$K123,PARAMETROS!$E:BA,6,0)</f>
        <v>0</v>
      </c>
      <c r="U123" s="442">
        <f>VLOOKUP('BANCO DADOS-CUSTO TOTAL'!$K123,PARAMETROS!$E:BB,7,0)</f>
        <v>0</v>
      </c>
      <c r="V123" s="442">
        <f>VLOOKUP('BANCO DADOS-CUSTO TOTAL'!$K123,PARAMETROS!$E:BC,8,0)</f>
        <v>0</v>
      </c>
      <c r="W123" s="442">
        <f>VLOOKUP('BANCO DADOS-CUSTO TOTAL'!$K123,PARAMETROS!$E:BD,9,0)</f>
        <v>146.80740454545455</v>
      </c>
      <c r="X123" s="442">
        <f>VLOOKUP('BANCO DADOS-CUSTO TOTAL'!$K123,PARAMETROS!$E:BE,10,0)</f>
        <v>47.357227272727279</v>
      </c>
      <c r="Y123" s="443">
        <f t="shared" si="181"/>
        <v>2277.88</v>
      </c>
      <c r="Z123" s="456"/>
      <c r="AA123" s="444">
        <v>30</v>
      </c>
      <c r="AB123" s="445">
        <f>IF(J123="EFETIVO",IF(AND(L123="",M123=""),$M$5,IF(AND(L123&lt;&gt;"",M123&lt;&gt;"",MONTH(L123)=MONTH(M123),YEAR(L123)=YEAR(M123)),M123-L123+1,IF(AND(L123&lt;&gt;"",M123&lt;&gt;"",MONTH(L123)&lt;&gt;MONTH(M123)),DAY(M123),IF(AND(L123="",M123&lt;&gt;"",MONTH($H$5)=MONTH(M123),YEAR(M123)=YEAR($H$5)),M123-$K$5+1,IF(AND(L123&lt;&gt;"",M123="",MONTH($K$5)=MONTH(L123),YEAR($K$5)=YEAR(L123)),30-DAY(L123)+1,$M$5))))),0)</f>
        <v>30</v>
      </c>
      <c r="AC123" s="446">
        <f>(Y123/30)*(AA123-Z123)</f>
        <v>2277.88</v>
      </c>
      <c r="AD123" s="447">
        <f>Y123</f>
        <v>2277.88</v>
      </c>
      <c r="AE123" s="447">
        <f>IF(AND(J123="EFETIVO",N123="FÉRIAS"),AD123,IF(J123="EFETIVO",AC123,0))</f>
        <v>2277.88</v>
      </c>
      <c r="AF123" s="443">
        <f>IF(J123="EFETIVO",VLOOKUP(K123,PARAMETROS!$E:AX,11,0),0)</f>
        <v>112.9</v>
      </c>
      <c r="AG123" s="443">
        <f>VLOOKUP(H123,'VA E VT - APOIO.LIMPEZA'!F:AX,14,0)</f>
        <v>223.06049999999999</v>
      </c>
      <c r="AH123" s="443">
        <f>VLOOKUP($H123,'VA E VT - APOIO.LIMPEZA'!$F:AY,20,0)</f>
        <v>18.528400000000005</v>
      </c>
      <c r="AI123" s="443">
        <f>IF($J123="EFETIVO",VLOOKUP($K123,PARAMETROS!$E:BA,14,0),0)</f>
        <v>91.08</v>
      </c>
      <c r="AJ123" s="443">
        <f>IF($J123="EFETIVO",VLOOKUP($K123,PARAMETROS!$E:BB,15,0),0)</f>
        <v>17.03</v>
      </c>
      <c r="AK123" s="443"/>
      <c r="AL123" s="443"/>
      <c r="AM123" s="443"/>
      <c r="AN123" s="443"/>
      <c r="AO123" s="448">
        <f t="shared" si="182"/>
        <v>462.59890000000007</v>
      </c>
      <c r="AP123" s="443">
        <f>IF($J123="EFETIVO",VLOOKUP($K123,PARAMETROS!$E:BH,20,0),0)</f>
        <v>62.37</v>
      </c>
      <c r="AQ123" s="446"/>
      <c r="AR123" s="443">
        <f>IF($J123="EFETIVO",VLOOKUP($K123,PARAMETROS!$E:BJ,22,0),0)</f>
        <v>58.53</v>
      </c>
      <c r="AS123" s="446"/>
      <c r="AT123" s="448">
        <f t="shared" si="183"/>
        <v>120.9</v>
      </c>
      <c r="AU123" s="448">
        <f>$AU$10*AC123</f>
        <v>838.25984000000005</v>
      </c>
      <c r="AV123" s="448">
        <f t="shared" si="184"/>
        <v>4.1001840000000005</v>
      </c>
      <c r="AW123" s="448">
        <f t="shared" si="184"/>
        <v>11.3894</v>
      </c>
      <c r="AX123" s="448">
        <f t="shared" si="184"/>
        <v>0.91115200000000007</v>
      </c>
      <c r="AY123" s="448">
        <f t="shared" si="184"/>
        <v>0.45557600000000004</v>
      </c>
      <c r="AZ123" s="448">
        <f t="shared" si="184"/>
        <v>7.9725800000000007</v>
      </c>
      <c r="BA123" s="448">
        <f t="shared" si="184"/>
        <v>2.9339094400000003</v>
      </c>
      <c r="BB123" s="448">
        <f t="shared" si="184"/>
        <v>3.8723960000000002</v>
      </c>
      <c r="BC123" s="448">
        <f t="shared" si="185"/>
        <v>27.53</v>
      </c>
      <c r="BD123" s="448">
        <f t="shared" si="186"/>
        <v>31.662531999999999</v>
      </c>
      <c r="BE123" s="448">
        <f t="shared" si="186"/>
        <v>19.134191999999999</v>
      </c>
      <c r="BF123" s="448">
        <f t="shared" si="186"/>
        <v>7.517004</v>
      </c>
      <c r="BG123" s="448">
        <f t="shared" si="186"/>
        <v>0</v>
      </c>
      <c r="BH123" s="448">
        <f t="shared" si="186"/>
        <v>21.459451904000002</v>
      </c>
      <c r="BI123" s="448">
        <f t="shared" si="187"/>
        <v>79.77</v>
      </c>
      <c r="BJ123" s="448">
        <f t="shared" si="188"/>
        <v>949.66</v>
      </c>
      <c r="BK123" s="448">
        <f>IF($N123="FÉRIAS",$AD123*$BK$10,IF($AB123&gt;=15,$AD123*$BK$10,0))</f>
        <v>189.74740400000002</v>
      </c>
      <c r="BL123" s="448">
        <f>IF($N123="FÉRIAS",$AD123*$BL$10,IF($AB123&gt;=15,$AD123*$BL$10,0))</f>
        <v>253.07246800000001</v>
      </c>
      <c r="BM123" s="448">
        <f>$BM$10*BK123</f>
        <v>69.827044672</v>
      </c>
      <c r="BN123" s="448">
        <f>$BN$10*BL123</f>
        <v>93.130668224000004</v>
      </c>
      <c r="BO123" s="448">
        <f>$BO$10*AE123</f>
        <v>97.94883999999999</v>
      </c>
      <c r="BP123" s="448"/>
      <c r="BQ123" s="448">
        <f t="shared" si="189"/>
        <v>703.72</v>
      </c>
      <c r="BR123" s="448">
        <f t="shared" si="190"/>
        <v>1653.38</v>
      </c>
      <c r="BS123" s="448">
        <f>IF($J123="EFETIVO",BS$10,0)</f>
        <v>288.66000000000003</v>
      </c>
      <c r="BT123" s="448">
        <f>IF($J123="EFETIVO",BT$10,0)</f>
        <v>346.26</v>
      </c>
      <c r="BU123" s="448">
        <f>((AC123+AO123+AT123+BJ123+BS123+BT123)*E123)</f>
        <v>420.58771194000008</v>
      </c>
      <c r="BV123" s="448">
        <f>BQ123*E123</f>
        <v>66.571912000000012</v>
      </c>
      <c r="BW123" s="448">
        <f>SUM(BU123:BV123)</f>
        <v>487.15962394000007</v>
      </c>
      <c r="BX123" s="448">
        <f>BS123+BT123+BW123</f>
        <v>1122.0796239400001</v>
      </c>
      <c r="BY123" s="448">
        <f t="shared" si="191"/>
        <v>4933.1185239400002</v>
      </c>
      <c r="BZ123" s="448">
        <f>BQ123</f>
        <v>703.72</v>
      </c>
      <c r="CA123" s="448">
        <f>BY123+BZ123</f>
        <v>5636.8385239400004</v>
      </c>
      <c r="CB123" s="449"/>
    </row>
    <row r="124" spans="1:80" s="480" customFormat="1" ht="15.75" customHeight="1">
      <c r="A124" s="462"/>
      <c r="B124" s="462"/>
      <c r="C124" s="462" t="s">
        <v>3905</v>
      </c>
      <c r="D124" s="463"/>
      <c r="E124" s="464"/>
      <c r="F124" s="465"/>
      <c r="G124" s="466"/>
      <c r="H124" s="467"/>
      <c r="I124" s="462"/>
      <c r="J124" s="468"/>
      <c r="K124" s="462"/>
      <c r="L124" s="469"/>
      <c r="M124" s="469"/>
      <c r="N124" s="468"/>
      <c r="O124" s="468"/>
      <c r="P124" s="468"/>
      <c r="Q124" s="470"/>
      <c r="R124" s="470"/>
      <c r="S124" s="470"/>
      <c r="T124" s="470"/>
      <c r="U124" s="470"/>
      <c r="V124" s="470"/>
      <c r="W124" s="470"/>
      <c r="X124" s="470"/>
      <c r="Y124" s="471"/>
      <c r="Z124" s="472"/>
      <c r="AA124" s="473"/>
      <c r="AB124" s="474"/>
      <c r="AC124" s="475"/>
      <c r="AD124" s="476"/>
      <c r="AE124" s="476"/>
      <c r="AF124" s="478">
        <f t="shared" ref="AF124:BZ124" si="192">SUBTOTAL(9,AF122:AF123)</f>
        <v>225.8</v>
      </c>
      <c r="AG124" s="477">
        <f t="shared" si="192"/>
        <v>446.12099999999998</v>
      </c>
      <c r="AH124" s="477">
        <f t="shared" si="192"/>
        <v>37.05680000000001</v>
      </c>
      <c r="AI124" s="477">
        <f t="shared" si="192"/>
        <v>182.16</v>
      </c>
      <c r="AJ124" s="477">
        <f t="shared" si="192"/>
        <v>34.06</v>
      </c>
      <c r="AK124" s="477">
        <f t="shared" si="192"/>
        <v>0</v>
      </c>
      <c r="AL124" s="477">
        <f t="shared" si="192"/>
        <v>0</v>
      </c>
      <c r="AM124" s="477">
        <f t="shared" si="192"/>
        <v>0</v>
      </c>
      <c r="AN124" s="477">
        <f t="shared" si="192"/>
        <v>0</v>
      </c>
      <c r="AO124" s="477">
        <f t="shared" si="192"/>
        <v>925.19780000000014</v>
      </c>
      <c r="AP124" s="477">
        <f t="shared" si="192"/>
        <v>124.74</v>
      </c>
      <c r="AQ124" s="477">
        <f t="shared" si="192"/>
        <v>0</v>
      </c>
      <c r="AR124" s="477">
        <f t="shared" si="192"/>
        <v>117.06</v>
      </c>
      <c r="AS124" s="477">
        <f t="shared" si="192"/>
        <v>0</v>
      </c>
      <c r="AT124" s="477">
        <f t="shared" si="192"/>
        <v>241.8</v>
      </c>
      <c r="AU124" s="477">
        <f t="shared" si="192"/>
        <v>1676.5196800000001</v>
      </c>
      <c r="AV124" s="477">
        <f t="shared" si="192"/>
        <v>8.200368000000001</v>
      </c>
      <c r="AW124" s="477">
        <f t="shared" si="192"/>
        <v>22.7788</v>
      </c>
      <c r="AX124" s="477">
        <f t="shared" si="192"/>
        <v>1.8223040000000001</v>
      </c>
      <c r="AY124" s="477">
        <f t="shared" si="192"/>
        <v>0.91115200000000007</v>
      </c>
      <c r="AZ124" s="477">
        <f t="shared" si="192"/>
        <v>15.945160000000001</v>
      </c>
      <c r="BA124" s="477">
        <f t="shared" si="192"/>
        <v>5.8678188800000006</v>
      </c>
      <c r="BB124" s="477">
        <f t="shared" si="192"/>
        <v>7.7447920000000003</v>
      </c>
      <c r="BC124" s="477">
        <f t="shared" si="192"/>
        <v>55.06</v>
      </c>
      <c r="BD124" s="477">
        <f t="shared" si="192"/>
        <v>63.325063999999998</v>
      </c>
      <c r="BE124" s="477">
        <f t="shared" si="192"/>
        <v>38.268383999999998</v>
      </c>
      <c r="BF124" s="477">
        <f t="shared" si="192"/>
        <v>15.034008</v>
      </c>
      <c r="BG124" s="477">
        <f t="shared" si="192"/>
        <v>0</v>
      </c>
      <c r="BH124" s="477">
        <f t="shared" si="192"/>
        <v>42.918903808000003</v>
      </c>
      <c r="BI124" s="477">
        <f t="shared" si="192"/>
        <v>159.54</v>
      </c>
      <c r="BJ124" s="477">
        <f t="shared" si="192"/>
        <v>1899.32</v>
      </c>
      <c r="BK124" s="477">
        <f t="shared" si="192"/>
        <v>379.49480800000003</v>
      </c>
      <c r="BL124" s="477">
        <f t="shared" si="192"/>
        <v>506.14493600000003</v>
      </c>
      <c r="BM124" s="477">
        <f t="shared" si="192"/>
        <v>139.654089344</v>
      </c>
      <c r="BN124" s="477">
        <f t="shared" si="192"/>
        <v>186.26133644800001</v>
      </c>
      <c r="BO124" s="477">
        <f t="shared" si="192"/>
        <v>195.89767999999998</v>
      </c>
      <c r="BP124" s="477">
        <f t="shared" si="192"/>
        <v>0</v>
      </c>
      <c r="BQ124" s="477">
        <f t="shared" si="192"/>
        <v>1407.44</v>
      </c>
      <c r="BR124" s="477">
        <f t="shared" si="192"/>
        <v>3306.76</v>
      </c>
      <c r="BS124" s="477">
        <f t="shared" si="192"/>
        <v>577.32000000000005</v>
      </c>
      <c r="BT124" s="477">
        <f t="shared" si="192"/>
        <v>692.52</v>
      </c>
      <c r="BU124" s="477">
        <f t="shared" si="192"/>
        <v>841.17542388000015</v>
      </c>
      <c r="BV124" s="477">
        <f t="shared" si="192"/>
        <v>133.14382400000002</v>
      </c>
      <c r="BW124" s="477">
        <f t="shared" si="192"/>
        <v>974.31924788000015</v>
      </c>
      <c r="BX124" s="477">
        <f t="shared" si="192"/>
        <v>2244.1592478800003</v>
      </c>
      <c r="BY124" s="477">
        <f t="shared" si="192"/>
        <v>9866.2370478800003</v>
      </c>
      <c r="BZ124" s="477">
        <f t="shared" si="192"/>
        <v>1407.44</v>
      </c>
      <c r="CA124" s="477">
        <f>SUBTOTAL(9,CA122:CA123)</f>
        <v>11273.677047880001</v>
      </c>
      <c r="CB124" s="479"/>
    </row>
    <row r="125" spans="1:80" s="450" customFormat="1" ht="15.75" customHeight="1">
      <c r="A125" s="435">
        <v>1</v>
      </c>
      <c r="B125" s="435">
        <v>1</v>
      </c>
      <c r="C125" s="435" t="s">
        <v>3843</v>
      </c>
      <c r="D125" s="436">
        <f>VLOOKUP(C125,ISS!A:B,2,0)</f>
        <v>0.03</v>
      </c>
      <c r="E125" s="437">
        <f>IF(D125=2%,5.99%,IF(D125=2.5%,6.55%,IF(D125=3%,7.12%,IF(D125=3.5%,7.7%,IF(D125=4%,8.28%,IF(D125=5%,9.46%))))))</f>
        <v>7.1199999999999999E-2</v>
      </c>
      <c r="F125" s="438">
        <v>86</v>
      </c>
      <c r="G125" s="439">
        <v>12426</v>
      </c>
      <c r="H125" s="440" t="s">
        <v>4020</v>
      </c>
      <c r="I125" s="435" t="s">
        <v>3848</v>
      </c>
      <c r="J125" s="102" t="s">
        <v>3521</v>
      </c>
      <c r="K125" s="435" t="str">
        <f t="shared" si="38"/>
        <v>São LourençoVIGILANTE ARMADO - 12X36 DIURNO</v>
      </c>
      <c r="L125" s="441" t="s">
        <v>3875</v>
      </c>
      <c r="M125" s="441"/>
      <c r="N125" s="102"/>
      <c r="O125" s="102"/>
      <c r="P125" s="102"/>
      <c r="Q125" s="442">
        <f>VLOOKUP('BANCO DADOS-CUSTO TOTAL'!$K125,PARAMETROS!$E:AX,3,0)</f>
        <v>1602.86</v>
      </c>
      <c r="R125" s="442">
        <f>VLOOKUP('BANCO DADOS-CUSTO TOTAL'!$K125,PARAMETROS!$E:AY,4,0)</f>
        <v>0</v>
      </c>
      <c r="S125" s="442">
        <f>VLOOKUP('BANCO DADOS-CUSTO TOTAL'!$K125,PARAMETROS!$E:AZ,5,0)</f>
        <v>480.85799999999995</v>
      </c>
      <c r="T125" s="442">
        <f>VLOOKUP('BANCO DADOS-CUSTO TOTAL'!$K125,PARAMETROS!$E:BA,6,0)</f>
        <v>0</v>
      </c>
      <c r="U125" s="442">
        <f>VLOOKUP('BANCO DADOS-CUSTO TOTAL'!$K125,PARAMETROS!$E:BB,7,0)</f>
        <v>0</v>
      </c>
      <c r="V125" s="442">
        <f>VLOOKUP('BANCO DADOS-CUSTO TOTAL'!$K125,PARAMETROS!$E:BC,8,0)</f>
        <v>0</v>
      </c>
      <c r="W125" s="442">
        <f>VLOOKUP('BANCO DADOS-CUSTO TOTAL'!$K125,PARAMETROS!$E:BD,9,0)</f>
        <v>146.80740454545455</v>
      </c>
      <c r="X125" s="442">
        <f>VLOOKUP('BANCO DADOS-CUSTO TOTAL'!$K125,PARAMETROS!$E:BE,10,0)</f>
        <v>47.357227272727279</v>
      </c>
      <c r="Y125" s="443">
        <f t="shared" ref="Y125:Y126" si="193">TRUNC(SUM(Q125:X125),2)</f>
        <v>2277.88</v>
      </c>
      <c r="Z125" s="456"/>
      <c r="AA125" s="444">
        <v>30</v>
      </c>
      <c r="AB125" s="445">
        <f>IF(J125="EFETIVO",IF(AND(L125="",M125=""),$M$5,IF(AND(L125&lt;&gt;"",M125&lt;&gt;"",MONTH(L125)=MONTH(M125),YEAR(L125)=YEAR(M125)),M125-L125+1,IF(AND(L125&lt;&gt;"",M125&lt;&gt;"",MONTH(L125)&lt;&gt;MONTH(M125)),DAY(M125),IF(AND(L125="",M125&lt;&gt;"",MONTH($H$5)=MONTH(M125),YEAR(M125)=YEAR($H$5)),M125-$K$5+1,IF(AND(L125&lt;&gt;"",M125="",MONTH($K$5)=MONTH(L125),YEAR($K$5)=YEAR(L125)),30-DAY(L125)+1,$M$5))))),0)</f>
        <v>30</v>
      </c>
      <c r="AC125" s="446">
        <f>(Y125/30)*(AA125-Z125)</f>
        <v>2277.88</v>
      </c>
      <c r="AD125" s="447">
        <f>Y125</f>
        <v>2277.88</v>
      </c>
      <c r="AE125" s="447">
        <f>IF(AND(J125="EFETIVO",N125="FÉRIAS"),AD125,IF(J125="EFETIVO",AC125,0))</f>
        <v>2277.88</v>
      </c>
      <c r="AF125" s="443">
        <f>IF(J125="EFETIVO",VLOOKUP(K125,PARAMETROS!$E:AX,11,0),0)</f>
        <v>112.9</v>
      </c>
      <c r="AG125" s="443">
        <f>VLOOKUP(H125,'VA E VT - APOIO.LIMPEZA'!F:AX,14,0)</f>
        <v>223.06049999999999</v>
      </c>
      <c r="AH125" s="443">
        <f>VLOOKUP($H125,'VA E VT - APOIO.LIMPEZA'!$F:AY,20,0)</f>
        <v>18.528400000000005</v>
      </c>
      <c r="AI125" s="443">
        <f>IF($J125="EFETIVO",VLOOKUP($K125,PARAMETROS!$E:BA,14,0),0)</f>
        <v>91.08</v>
      </c>
      <c r="AJ125" s="443">
        <f>IF($J125="EFETIVO",VLOOKUP($K125,PARAMETROS!$E:BB,15,0),0)</f>
        <v>17.03</v>
      </c>
      <c r="AK125" s="443"/>
      <c r="AL125" s="443"/>
      <c r="AM125" s="443"/>
      <c r="AN125" s="443"/>
      <c r="AO125" s="448">
        <f t="shared" ref="AO125:AO126" si="194">SUM(AF125:AN125)</f>
        <v>462.59890000000007</v>
      </c>
      <c r="AP125" s="443">
        <f>IF($J125="EFETIVO",VLOOKUP($K125,PARAMETROS!$E:BH,20,0),0)</f>
        <v>62.37</v>
      </c>
      <c r="AQ125" s="446"/>
      <c r="AR125" s="443">
        <f>IF($J125="EFETIVO",VLOOKUP($K125,PARAMETROS!$E:BJ,22,0),0)</f>
        <v>58.53</v>
      </c>
      <c r="AS125" s="446"/>
      <c r="AT125" s="448">
        <f t="shared" ref="AT125:AT126" si="195">(AP125+AQ125+AR125+AS125)</f>
        <v>120.9</v>
      </c>
      <c r="AU125" s="448">
        <f>$AU$10*AC125</f>
        <v>838.25984000000005</v>
      </c>
      <c r="AV125" s="448">
        <f t="shared" ref="AV125:BB126" si="196">IF($J125="EFETIVO",$Y125*AV$10,0)</f>
        <v>4.1001840000000005</v>
      </c>
      <c r="AW125" s="448">
        <f t="shared" si="196"/>
        <v>11.3894</v>
      </c>
      <c r="AX125" s="448">
        <f t="shared" si="196"/>
        <v>0.91115200000000007</v>
      </c>
      <c r="AY125" s="448">
        <f t="shared" si="196"/>
        <v>0.45557600000000004</v>
      </c>
      <c r="AZ125" s="448">
        <f t="shared" si="196"/>
        <v>7.9725800000000007</v>
      </c>
      <c r="BA125" s="448">
        <f t="shared" si="196"/>
        <v>2.9339094400000003</v>
      </c>
      <c r="BB125" s="448">
        <f t="shared" si="196"/>
        <v>3.8723960000000002</v>
      </c>
      <c r="BC125" s="448">
        <f t="shared" ref="BC125:BC126" si="197">TRUNC(SUM(AW125:BB125),2)</f>
        <v>27.53</v>
      </c>
      <c r="BD125" s="448">
        <f t="shared" ref="BD125:BH126" si="198">IF($J125="EFETIVO",$Y125*BD$10,0)</f>
        <v>31.662531999999999</v>
      </c>
      <c r="BE125" s="448">
        <f t="shared" si="198"/>
        <v>19.134191999999999</v>
      </c>
      <c r="BF125" s="448">
        <f t="shared" si="198"/>
        <v>7.517004</v>
      </c>
      <c r="BG125" s="448">
        <f t="shared" si="198"/>
        <v>0</v>
      </c>
      <c r="BH125" s="448">
        <f t="shared" si="198"/>
        <v>21.459451904000002</v>
      </c>
      <c r="BI125" s="448">
        <f t="shared" ref="BI125:BI126" si="199">TRUNC(SUM(BD125:BH125),2)</f>
        <v>79.77</v>
      </c>
      <c r="BJ125" s="448">
        <f t="shared" ref="BJ125:BJ126" si="200">TRUNC((BI125+BC125+AV125+AU125),2)</f>
        <v>949.66</v>
      </c>
      <c r="BK125" s="448">
        <f>IF($N125="FÉRIAS",$AD125*$BK$10,IF($AB125&gt;=15,$AD125*$BK$10,0))</f>
        <v>189.74740400000002</v>
      </c>
      <c r="BL125" s="448">
        <f>IF($N125="FÉRIAS",$AD125*$BL$10,IF($AB125&gt;=15,$AD125*$BL$10,0))</f>
        <v>253.07246800000001</v>
      </c>
      <c r="BM125" s="448">
        <f>$BM$10*BK125</f>
        <v>69.827044672</v>
      </c>
      <c r="BN125" s="448">
        <f>$BN$10*BL125</f>
        <v>93.130668224000004</v>
      </c>
      <c r="BO125" s="448">
        <f>$BO$10*AE125</f>
        <v>97.94883999999999</v>
      </c>
      <c r="BP125" s="448"/>
      <c r="BQ125" s="448">
        <f t="shared" ref="BQ125:BQ126" si="201">TRUNC(SUM(BK125:BP125),2)</f>
        <v>703.72</v>
      </c>
      <c r="BR125" s="448">
        <f t="shared" ref="BR125:BR126" si="202">TRUNC((BJ125+BQ125),2)</f>
        <v>1653.38</v>
      </c>
      <c r="BS125" s="448">
        <f>IF($J125="EFETIVO",BS$10,0)</f>
        <v>288.66000000000003</v>
      </c>
      <c r="BT125" s="448">
        <f>IF($J125="EFETIVO",BT$10,0)</f>
        <v>346.26</v>
      </c>
      <c r="BU125" s="448">
        <f>((AC125+AO125+AT125+BJ125+BS125+BT125)*E125)</f>
        <v>316.55227368000004</v>
      </c>
      <c r="BV125" s="448">
        <f>BQ125*E125</f>
        <v>50.104863999999999</v>
      </c>
      <c r="BW125" s="448">
        <f>SUM(BU125:BV125)</f>
        <v>366.65713768000006</v>
      </c>
      <c r="BX125" s="448">
        <f>BS125+BT125+BW125</f>
        <v>1001.5771376800001</v>
      </c>
      <c r="BY125" s="448">
        <f t="shared" ref="BY125:BY126" si="203">(AC125+AO125+AT125+BJ125+BX125)</f>
        <v>4812.6160376799999</v>
      </c>
      <c r="BZ125" s="448">
        <f>BQ125</f>
        <v>703.72</v>
      </c>
      <c r="CA125" s="448">
        <f>BY125+BZ125</f>
        <v>5516.3360376800001</v>
      </c>
      <c r="CB125" s="449"/>
    </row>
    <row r="126" spans="1:80" s="450" customFormat="1" ht="15.75" customHeight="1">
      <c r="A126" s="435">
        <v>1</v>
      </c>
      <c r="B126" s="435">
        <v>1</v>
      </c>
      <c r="C126" s="435" t="s">
        <v>3843</v>
      </c>
      <c r="D126" s="436">
        <f>VLOOKUP(C126,ISS!A:B,2,0)</f>
        <v>0.03</v>
      </c>
      <c r="E126" s="437">
        <f>IF(D126=2%,5.99%,IF(D126=2.5%,6.55%,IF(D126=3%,7.12%,IF(D126=3.5%,7.7%,IF(D126=4%,8.28%,IF(D126=5%,9.46%))))))</f>
        <v>7.1199999999999999E-2</v>
      </c>
      <c r="F126" s="438">
        <v>87</v>
      </c>
      <c r="G126" s="439">
        <v>12427</v>
      </c>
      <c r="H126" s="440" t="s">
        <v>4021</v>
      </c>
      <c r="I126" s="435" t="s">
        <v>3848</v>
      </c>
      <c r="J126" s="102" t="s">
        <v>3521</v>
      </c>
      <c r="K126" s="435" t="str">
        <f>CONCATENATE(C126,I126)</f>
        <v>São LourençoVIGILANTE ARMADO - 12X36 DIURNO</v>
      </c>
      <c r="L126" s="441" t="s">
        <v>3875</v>
      </c>
      <c r="M126" s="441"/>
      <c r="N126" s="102"/>
      <c r="O126" s="102"/>
      <c r="P126" s="102"/>
      <c r="Q126" s="442">
        <f>VLOOKUP('BANCO DADOS-CUSTO TOTAL'!$K126,PARAMETROS!$E:AX,3,0)</f>
        <v>1602.86</v>
      </c>
      <c r="R126" s="442">
        <f>VLOOKUP('BANCO DADOS-CUSTO TOTAL'!$K126,PARAMETROS!$E:AY,4,0)</f>
        <v>0</v>
      </c>
      <c r="S126" s="442">
        <f>VLOOKUP('BANCO DADOS-CUSTO TOTAL'!$K126,PARAMETROS!$E:AZ,5,0)</f>
        <v>480.85799999999995</v>
      </c>
      <c r="T126" s="442">
        <f>VLOOKUP('BANCO DADOS-CUSTO TOTAL'!$K126,PARAMETROS!$E:BA,6,0)</f>
        <v>0</v>
      </c>
      <c r="U126" s="442">
        <f>VLOOKUP('BANCO DADOS-CUSTO TOTAL'!$K126,PARAMETROS!$E:BB,7,0)</f>
        <v>0</v>
      </c>
      <c r="V126" s="442">
        <f>VLOOKUP('BANCO DADOS-CUSTO TOTAL'!$K126,PARAMETROS!$E:BC,8,0)</f>
        <v>0</v>
      </c>
      <c r="W126" s="442">
        <f>VLOOKUP('BANCO DADOS-CUSTO TOTAL'!$K126,PARAMETROS!$E:BD,9,0)</f>
        <v>146.80740454545455</v>
      </c>
      <c r="X126" s="442">
        <f>VLOOKUP('BANCO DADOS-CUSTO TOTAL'!$K126,PARAMETROS!$E:BE,10,0)</f>
        <v>47.357227272727279</v>
      </c>
      <c r="Y126" s="443">
        <f t="shared" si="193"/>
        <v>2277.88</v>
      </c>
      <c r="Z126" s="456"/>
      <c r="AA126" s="444">
        <v>30</v>
      </c>
      <c r="AB126" s="445">
        <f>IF(J126="EFETIVO",IF(AND(L126="",M126=""),$M$5,IF(AND(L126&lt;&gt;"",M126&lt;&gt;"",MONTH(L126)=MONTH(M126),YEAR(L126)=YEAR(M126)),M126-L126+1,IF(AND(L126&lt;&gt;"",M126&lt;&gt;"",MONTH(L126)&lt;&gt;MONTH(M126)),DAY(M126),IF(AND(L126="",M126&lt;&gt;"",MONTH($H$5)=MONTH(M126),YEAR(M126)=YEAR($H$5)),M126-$K$5+1,IF(AND(L126&lt;&gt;"",M126="",MONTH($K$5)=MONTH(L126),YEAR($K$5)=YEAR(L126)),30-DAY(L126)+1,$M$5))))),0)</f>
        <v>30</v>
      </c>
      <c r="AC126" s="446">
        <f>(Y126/30)*(AA126-Z126)</f>
        <v>2277.88</v>
      </c>
      <c r="AD126" s="447">
        <f>Y126</f>
        <v>2277.88</v>
      </c>
      <c r="AE126" s="447">
        <f>IF(AND(J126="EFETIVO",N126="FÉRIAS"),AD126,IF(J126="EFETIVO",AC126,0))</f>
        <v>2277.88</v>
      </c>
      <c r="AF126" s="443">
        <f>IF(J126="EFETIVO",VLOOKUP(K126,PARAMETROS!$E:AX,11,0),0)</f>
        <v>112.9</v>
      </c>
      <c r="AG126" s="443">
        <f>VLOOKUP(H126,'VA E VT - APOIO.LIMPEZA'!F:AX,14,0)</f>
        <v>223.06049999999999</v>
      </c>
      <c r="AH126" s="443">
        <f>VLOOKUP($H126,'VA E VT - APOIO.LIMPEZA'!$F:AY,20,0)</f>
        <v>18.528400000000005</v>
      </c>
      <c r="AI126" s="443">
        <f>IF($J126="EFETIVO",VLOOKUP($K126,PARAMETROS!$E:BA,14,0),0)</f>
        <v>91.08</v>
      </c>
      <c r="AJ126" s="443">
        <f>IF($J126="EFETIVO",VLOOKUP($K126,PARAMETROS!$E:BB,15,0),0)</f>
        <v>17.03</v>
      </c>
      <c r="AK126" s="443"/>
      <c r="AL126" s="443"/>
      <c r="AM126" s="443"/>
      <c r="AN126" s="443"/>
      <c r="AO126" s="448">
        <f t="shared" si="194"/>
        <v>462.59890000000007</v>
      </c>
      <c r="AP126" s="443">
        <f>IF($J126="EFETIVO",VLOOKUP($K126,PARAMETROS!$E:BH,20,0),0)</f>
        <v>62.37</v>
      </c>
      <c r="AQ126" s="446"/>
      <c r="AR126" s="443">
        <f>IF($J126="EFETIVO",VLOOKUP($K126,PARAMETROS!$E:BJ,22,0),0)</f>
        <v>58.53</v>
      </c>
      <c r="AS126" s="446"/>
      <c r="AT126" s="448">
        <f t="shared" si="195"/>
        <v>120.9</v>
      </c>
      <c r="AU126" s="448">
        <f>$AU$10*AC126</f>
        <v>838.25984000000005</v>
      </c>
      <c r="AV126" s="448">
        <f t="shared" si="196"/>
        <v>4.1001840000000005</v>
      </c>
      <c r="AW126" s="448">
        <f t="shared" si="196"/>
        <v>11.3894</v>
      </c>
      <c r="AX126" s="448">
        <f t="shared" si="196"/>
        <v>0.91115200000000007</v>
      </c>
      <c r="AY126" s="448">
        <f t="shared" si="196"/>
        <v>0.45557600000000004</v>
      </c>
      <c r="AZ126" s="448">
        <f t="shared" si="196"/>
        <v>7.9725800000000007</v>
      </c>
      <c r="BA126" s="448">
        <f t="shared" si="196"/>
        <v>2.9339094400000003</v>
      </c>
      <c r="BB126" s="448">
        <f t="shared" si="196"/>
        <v>3.8723960000000002</v>
      </c>
      <c r="BC126" s="448">
        <f t="shared" si="197"/>
        <v>27.53</v>
      </c>
      <c r="BD126" s="448">
        <f t="shared" si="198"/>
        <v>31.662531999999999</v>
      </c>
      <c r="BE126" s="448">
        <f t="shared" si="198"/>
        <v>19.134191999999999</v>
      </c>
      <c r="BF126" s="448">
        <f t="shared" si="198"/>
        <v>7.517004</v>
      </c>
      <c r="BG126" s="448">
        <f t="shared" si="198"/>
        <v>0</v>
      </c>
      <c r="BH126" s="448">
        <f t="shared" si="198"/>
        <v>21.459451904000002</v>
      </c>
      <c r="BI126" s="448">
        <f t="shared" si="199"/>
        <v>79.77</v>
      </c>
      <c r="BJ126" s="448">
        <f t="shared" si="200"/>
        <v>949.66</v>
      </c>
      <c r="BK126" s="448">
        <f>IF($N126="FÉRIAS",$AD126*$BK$10,IF($AB126&gt;=15,$AD126*$BK$10,0))</f>
        <v>189.74740400000002</v>
      </c>
      <c r="BL126" s="448">
        <f>IF($N126="FÉRIAS",$AD126*$BL$10,IF($AB126&gt;=15,$AD126*$BL$10,0))</f>
        <v>253.07246800000001</v>
      </c>
      <c r="BM126" s="448">
        <f>$BM$10*BK126</f>
        <v>69.827044672</v>
      </c>
      <c r="BN126" s="448">
        <f>$BN$10*BL126</f>
        <v>93.130668224000004</v>
      </c>
      <c r="BO126" s="448">
        <f>$BO$10*AE126</f>
        <v>97.94883999999999</v>
      </c>
      <c r="BP126" s="448"/>
      <c r="BQ126" s="448">
        <f t="shared" si="201"/>
        <v>703.72</v>
      </c>
      <c r="BR126" s="448">
        <f t="shared" si="202"/>
        <v>1653.38</v>
      </c>
      <c r="BS126" s="448">
        <f>IF($J126="EFETIVO",BS$10,0)</f>
        <v>288.66000000000003</v>
      </c>
      <c r="BT126" s="448">
        <f>IF($J126="EFETIVO",BT$10,0)</f>
        <v>346.26</v>
      </c>
      <c r="BU126" s="448">
        <f>((AC126+AO126+AT126+BJ126+BS126+BT126)*E126)</f>
        <v>316.55227368000004</v>
      </c>
      <c r="BV126" s="448">
        <f>BQ126*E126</f>
        <v>50.104863999999999</v>
      </c>
      <c r="BW126" s="448">
        <f>SUM(BU126:BV126)</f>
        <v>366.65713768000006</v>
      </c>
      <c r="BX126" s="448">
        <f>BS126+BT126+BW126</f>
        <v>1001.5771376800001</v>
      </c>
      <c r="BY126" s="448">
        <f t="shared" si="203"/>
        <v>4812.6160376799999</v>
      </c>
      <c r="BZ126" s="448">
        <f>BQ126</f>
        <v>703.72</v>
      </c>
      <c r="CA126" s="448">
        <f>BY126+BZ126</f>
        <v>5516.3360376800001</v>
      </c>
      <c r="CB126" s="449"/>
    </row>
    <row r="127" spans="1:80" s="480" customFormat="1" ht="15.75" customHeight="1">
      <c r="A127" s="462"/>
      <c r="B127" s="462"/>
      <c r="C127" s="462" t="s">
        <v>3906</v>
      </c>
      <c r="D127" s="463"/>
      <c r="E127" s="464"/>
      <c r="F127" s="465"/>
      <c r="G127" s="466"/>
      <c r="H127" s="467"/>
      <c r="I127" s="462"/>
      <c r="J127" s="468"/>
      <c r="K127" s="462"/>
      <c r="L127" s="469"/>
      <c r="M127" s="469"/>
      <c r="N127" s="468"/>
      <c r="O127" s="468"/>
      <c r="P127" s="468"/>
      <c r="Q127" s="470"/>
      <c r="R127" s="470"/>
      <c r="S127" s="470"/>
      <c r="T127" s="470"/>
      <c r="U127" s="470"/>
      <c r="V127" s="470"/>
      <c r="W127" s="470"/>
      <c r="X127" s="470"/>
      <c r="Y127" s="471"/>
      <c r="Z127" s="472"/>
      <c r="AA127" s="473"/>
      <c r="AB127" s="474"/>
      <c r="AC127" s="475"/>
      <c r="AD127" s="476"/>
      <c r="AE127" s="476"/>
      <c r="AF127" s="471">
        <f>SUBTOTAL(9,AF125:AF126)</f>
        <v>225.8</v>
      </c>
      <c r="AG127" s="471">
        <f t="shared" ref="AG127:BZ127" si="204">SUBTOTAL(9,AG125:AG126)</f>
        <v>446.12099999999998</v>
      </c>
      <c r="AH127" s="471">
        <f t="shared" si="204"/>
        <v>37.05680000000001</v>
      </c>
      <c r="AI127" s="471">
        <f t="shared" si="204"/>
        <v>182.16</v>
      </c>
      <c r="AJ127" s="471">
        <f t="shared" si="204"/>
        <v>34.06</v>
      </c>
      <c r="AK127" s="471">
        <f t="shared" si="204"/>
        <v>0</v>
      </c>
      <c r="AL127" s="471">
        <f t="shared" si="204"/>
        <v>0</v>
      </c>
      <c r="AM127" s="471">
        <f t="shared" si="204"/>
        <v>0</v>
      </c>
      <c r="AN127" s="471">
        <f t="shared" si="204"/>
        <v>0</v>
      </c>
      <c r="AO127" s="471">
        <f t="shared" si="204"/>
        <v>925.19780000000014</v>
      </c>
      <c r="AP127" s="471">
        <f t="shared" si="204"/>
        <v>124.74</v>
      </c>
      <c r="AQ127" s="471">
        <f t="shared" si="204"/>
        <v>0</v>
      </c>
      <c r="AR127" s="471">
        <f t="shared" si="204"/>
        <v>117.06</v>
      </c>
      <c r="AS127" s="471">
        <f t="shared" si="204"/>
        <v>0</v>
      </c>
      <c r="AT127" s="471">
        <f t="shared" si="204"/>
        <v>241.8</v>
      </c>
      <c r="AU127" s="471">
        <f t="shared" si="204"/>
        <v>1676.5196800000001</v>
      </c>
      <c r="AV127" s="471">
        <f t="shared" si="204"/>
        <v>8.200368000000001</v>
      </c>
      <c r="AW127" s="471">
        <f t="shared" si="204"/>
        <v>22.7788</v>
      </c>
      <c r="AX127" s="471">
        <f t="shared" si="204"/>
        <v>1.8223040000000001</v>
      </c>
      <c r="AY127" s="471">
        <f t="shared" si="204"/>
        <v>0.91115200000000007</v>
      </c>
      <c r="AZ127" s="471">
        <f t="shared" si="204"/>
        <v>15.945160000000001</v>
      </c>
      <c r="BA127" s="471">
        <f t="shared" si="204"/>
        <v>5.8678188800000006</v>
      </c>
      <c r="BB127" s="471">
        <f t="shared" si="204"/>
        <v>7.7447920000000003</v>
      </c>
      <c r="BC127" s="471">
        <f t="shared" si="204"/>
        <v>55.06</v>
      </c>
      <c r="BD127" s="471">
        <f t="shared" si="204"/>
        <v>63.325063999999998</v>
      </c>
      <c r="BE127" s="471">
        <f t="shared" si="204"/>
        <v>38.268383999999998</v>
      </c>
      <c r="BF127" s="471">
        <f t="shared" si="204"/>
        <v>15.034008</v>
      </c>
      <c r="BG127" s="471">
        <f t="shared" si="204"/>
        <v>0</v>
      </c>
      <c r="BH127" s="471">
        <f t="shared" si="204"/>
        <v>42.918903808000003</v>
      </c>
      <c r="BI127" s="471">
        <f t="shared" si="204"/>
        <v>159.54</v>
      </c>
      <c r="BJ127" s="471">
        <f t="shared" si="204"/>
        <v>1899.32</v>
      </c>
      <c r="BK127" s="471">
        <f t="shared" si="204"/>
        <v>379.49480800000003</v>
      </c>
      <c r="BL127" s="471">
        <f t="shared" si="204"/>
        <v>506.14493600000003</v>
      </c>
      <c r="BM127" s="471">
        <f t="shared" si="204"/>
        <v>139.654089344</v>
      </c>
      <c r="BN127" s="471">
        <f t="shared" si="204"/>
        <v>186.26133644800001</v>
      </c>
      <c r="BO127" s="471">
        <f t="shared" si="204"/>
        <v>195.89767999999998</v>
      </c>
      <c r="BP127" s="471">
        <f t="shared" si="204"/>
        <v>0</v>
      </c>
      <c r="BQ127" s="471">
        <f t="shared" si="204"/>
        <v>1407.44</v>
      </c>
      <c r="BR127" s="471">
        <f t="shared" si="204"/>
        <v>3306.76</v>
      </c>
      <c r="BS127" s="471">
        <f t="shared" si="204"/>
        <v>577.32000000000005</v>
      </c>
      <c r="BT127" s="471">
        <f t="shared" si="204"/>
        <v>692.52</v>
      </c>
      <c r="BU127" s="471">
        <f t="shared" si="204"/>
        <v>633.10454736000008</v>
      </c>
      <c r="BV127" s="471">
        <f t="shared" si="204"/>
        <v>100.209728</v>
      </c>
      <c r="BW127" s="471">
        <f t="shared" si="204"/>
        <v>733.31427536000012</v>
      </c>
      <c r="BX127" s="471">
        <f t="shared" si="204"/>
        <v>2003.1542753600002</v>
      </c>
      <c r="BY127" s="471">
        <f t="shared" si="204"/>
        <v>9625.2320753599997</v>
      </c>
      <c r="BZ127" s="471">
        <f t="shared" si="204"/>
        <v>1407.44</v>
      </c>
      <c r="CA127" s="471">
        <f>SUBTOTAL(9,CA125:CA126)</f>
        <v>11032.67207536</v>
      </c>
      <c r="CB127" s="479"/>
    </row>
    <row r="128" spans="1:80" s="450" customFormat="1" ht="15.75" customHeight="1">
      <c r="A128" s="435">
        <v>1</v>
      </c>
      <c r="B128" s="435">
        <v>1</v>
      </c>
      <c r="C128" s="435" t="s">
        <v>3844</v>
      </c>
      <c r="D128" s="436">
        <f>VLOOKUP(C128,ISS!A:B,2,0)</f>
        <v>0.03</v>
      </c>
      <c r="E128" s="437">
        <f>IF(D128=2%,5.99%,IF(D128=2.5%,6.55%,IF(D128=3%,7.12%,IF(D128=3.5%,7.7%,IF(D128=4%,8.28%,IF(D128=5%,9.46%))))))</f>
        <v>7.1199999999999999E-2</v>
      </c>
      <c r="F128" s="438">
        <v>88</v>
      </c>
      <c r="G128" s="439">
        <v>12428</v>
      </c>
      <c r="H128" s="440" t="s">
        <v>4022</v>
      </c>
      <c r="I128" s="435" t="s">
        <v>3848</v>
      </c>
      <c r="J128" s="102" t="s">
        <v>3521</v>
      </c>
      <c r="K128" s="435" t="str">
        <f t="shared" si="38"/>
        <v>São Sebastião do ParaísoVIGILANTE ARMADO - 12X36 DIURNO</v>
      </c>
      <c r="L128" s="441" t="s">
        <v>3882</v>
      </c>
      <c r="M128" s="441"/>
      <c r="N128" s="102" t="s">
        <v>3569</v>
      </c>
      <c r="O128" s="102" t="s">
        <v>3931</v>
      </c>
      <c r="P128" s="102" t="s">
        <v>3930</v>
      </c>
      <c r="Q128" s="442">
        <f>VLOOKUP('BANCO DADOS-CUSTO TOTAL'!$K128,PARAMETROS!$E:AX,3,0)</f>
        <v>1602.86</v>
      </c>
      <c r="R128" s="442">
        <f>VLOOKUP('BANCO DADOS-CUSTO TOTAL'!$K128,PARAMETROS!$E:AY,4,0)</f>
        <v>0</v>
      </c>
      <c r="S128" s="442">
        <f>VLOOKUP('BANCO DADOS-CUSTO TOTAL'!$K128,PARAMETROS!$E:AZ,5,0)</f>
        <v>480.85799999999995</v>
      </c>
      <c r="T128" s="442">
        <f>VLOOKUP('BANCO DADOS-CUSTO TOTAL'!$K128,PARAMETROS!$E:BA,6,0)</f>
        <v>0</v>
      </c>
      <c r="U128" s="442">
        <f>VLOOKUP('BANCO DADOS-CUSTO TOTAL'!$K128,PARAMETROS!$E:BB,7,0)</f>
        <v>0</v>
      </c>
      <c r="V128" s="442">
        <f>VLOOKUP('BANCO DADOS-CUSTO TOTAL'!$K128,PARAMETROS!$E:BC,8,0)</f>
        <v>0</v>
      </c>
      <c r="W128" s="442">
        <f>VLOOKUP('BANCO DADOS-CUSTO TOTAL'!$K128,PARAMETROS!$E:BD,9,0)</f>
        <v>146.80740454545455</v>
      </c>
      <c r="X128" s="442">
        <f>VLOOKUP('BANCO DADOS-CUSTO TOTAL'!$K128,PARAMETROS!$E:BE,10,0)</f>
        <v>47.357227272727279</v>
      </c>
      <c r="Y128" s="443">
        <f t="shared" ref="Y128:Y131" si="205">TRUNC(SUM(Q128:X128),2)</f>
        <v>2277.88</v>
      </c>
      <c r="Z128" s="456"/>
      <c r="AA128" s="444">
        <v>21</v>
      </c>
      <c r="AB128" s="445">
        <f>IF(J128="EFETIVO",IF(AND(L128="",M128=""),$M$5,IF(AND(L128&lt;&gt;"",M128&lt;&gt;"",MONTH(L128)=MONTH(M128),YEAR(L128)=YEAR(M128)),M128-L128+1,IF(AND(L128&lt;&gt;"",M128&lt;&gt;"",MONTH(L128)&lt;&gt;MONTH(M128)),DAY(M128),IF(AND(L128="",M128&lt;&gt;"",MONTH($H$5)=MONTH(M128),YEAR(M128)=YEAR($H$5)),M128-$K$5+1,IF(AND(L128&lt;&gt;"",M128="",MONTH($K$5)=MONTH(L128),YEAR($K$5)=YEAR(L128)),30-DAY(L128)+1,$M$5))))),0)</f>
        <v>30</v>
      </c>
      <c r="AC128" s="446">
        <f>(Y128/30)*(AA128-Z128)</f>
        <v>1594.5160000000001</v>
      </c>
      <c r="AD128" s="447">
        <f>Y128</f>
        <v>2277.88</v>
      </c>
      <c r="AE128" s="447">
        <f>IF(AND(J128="EFETIVO",N128="FÉRIAS"),AD128,IF(J128="EFETIVO",AC128,0))</f>
        <v>2277.88</v>
      </c>
      <c r="AF128" s="443">
        <f>IF(J128="EFETIVO",VLOOKUP(K128,PARAMETROS!$E:AX,11,0),0)</f>
        <v>112.9</v>
      </c>
      <c r="AG128" s="443">
        <f>VLOOKUP(H128,'VA E VT - APOIO.LIMPEZA'!F:AX,14,0)</f>
        <v>223.06049999999999</v>
      </c>
      <c r="AH128" s="443">
        <f>VLOOKUP($H128,'VA E VT - APOIO.LIMPEZA'!$F:AY,20,0)</f>
        <v>47.37988</v>
      </c>
      <c r="AI128" s="443">
        <f>IF($J128="EFETIVO",VLOOKUP($K128,PARAMETROS!$E:BA,14,0),0)</f>
        <v>91.08</v>
      </c>
      <c r="AJ128" s="443">
        <f>IF($J128="EFETIVO",VLOOKUP($K128,PARAMETROS!$E:BB,15,0),0)</f>
        <v>17.03</v>
      </c>
      <c r="AK128" s="443"/>
      <c r="AL128" s="443"/>
      <c r="AM128" s="443"/>
      <c r="AN128" s="443"/>
      <c r="AO128" s="448">
        <f t="shared" ref="AO128:AO131" si="206">SUM(AF128:AN128)</f>
        <v>491.45038</v>
      </c>
      <c r="AP128" s="443">
        <f>IF($J128="EFETIVO",VLOOKUP($K128,PARAMETROS!$E:BH,20,0),0)</f>
        <v>62.37</v>
      </c>
      <c r="AQ128" s="446"/>
      <c r="AR128" s="443">
        <f>IF($J128="EFETIVO",VLOOKUP($K128,PARAMETROS!$E:BJ,22,0),0)</f>
        <v>58.53</v>
      </c>
      <c r="AS128" s="446"/>
      <c r="AT128" s="448">
        <f t="shared" ref="AT128:AT131" si="207">(AP128+AQ128+AR128+AS128)</f>
        <v>120.9</v>
      </c>
      <c r="AU128" s="448">
        <f>$AU$10*AC128</f>
        <v>586.78188799999998</v>
      </c>
      <c r="AV128" s="448">
        <f t="shared" ref="AV128:BB131" si="208">IF($J128="EFETIVO",$Y128*AV$10,0)</f>
        <v>4.1001840000000005</v>
      </c>
      <c r="AW128" s="448">
        <f t="shared" si="208"/>
        <v>11.3894</v>
      </c>
      <c r="AX128" s="448">
        <f t="shared" si="208"/>
        <v>0.91115200000000007</v>
      </c>
      <c r="AY128" s="448">
        <f t="shared" si="208"/>
        <v>0.45557600000000004</v>
      </c>
      <c r="AZ128" s="448">
        <f t="shared" si="208"/>
        <v>7.9725800000000007</v>
      </c>
      <c r="BA128" s="448">
        <f t="shared" si="208"/>
        <v>2.9339094400000003</v>
      </c>
      <c r="BB128" s="448">
        <f t="shared" si="208"/>
        <v>3.8723960000000002</v>
      </c>
      <c r="BC128" s="448">
        <f t="shared" ref="BC128:BC131" si="209">TRUNC(SUM(AW128:BB128),2)</f>
        <v>27.53</v>
      </c>
      <c r="BD128" s="448">
        <f t="shared" ref="BD128:BH131" si="210">IF($J128="EFETIVO",$Y128*BD$10,0)</f>
        <v>31.662531999999999</v>
      </c>
      <c r="BE128" s="448">
        <f t="shared" si="210"/>
        <v>19.134191999999999</v>
      </c>
      <c r="BF128" s="448">
        <f t="shared" si="210"/>
        <v>7.517004</v>
      </c>
      <c r="BG128" s="448">
        <f t="shared" si="210"/>
        <v>0</v>
      </c>
      <c r="BH128" s="448">
        <f t="shared" si="210"/>
        <v>21.459451904000002</v>
      </c>
      <c r="BI128" s="448">
        <f t="shared" ref="BI128:BI131" si="211">TRUNC(SUM(BD128:BH128),2)</f>
        <v>79.77</v>
      </c>
      <c r="BJ128" s="448">
        <f t="shared" ref="BJ128:BJ131" si="212">TRUNC((BI128+BC128+AV128+AU128),2)</f>
        <v>698.18</v>
      </c>
      <c r="BK128" s="448">
        <f>IF($N128="FÉRIAS",$AD128*$BK$10,IF($AB128&gt;=15,$AD128*$BK$10,0))</f>
        <v>189.74740400000002</v>
      </c>
      <c r="BL128" s="448">
        <f>IF($N128="FÉRIAS",$AD128*$BL$10,IF($AB128&gt;=15,$AD128*$BL$10,0))</f>
        <v>253.07246800000001</v>
      </c>
      <c r="BM128" s="448">
        <f>$BM$10*BK128</f>
        <v>69.827044672</v>
      </c>
      <c r="BN128" s="448">
        <f>$BN$10*BL128</f>
        <v>93.130668224000004</v>
      </c>
      <c r="BO128" s="448">
        <f>$BO$10*AE128</f>
        <v>97.94883999999999</v>
      </c>
      <c r="BP128" s="448"/>
      <c r="BQ128" s="448">
        <f t="shared" ref="BQ128:BQ131" si="213">TRUNC(SUM(BK128:BP128),2)</f>
        <v>703.72</v>
      </c>
      <c r="BR128" s="448">
        <f t="shared" ref="BR128:BR131" si="214">TRUNC((BJ128+BQ128),2)</f>
        <v>1401.9</v>
      </c>
      <c r="BS128" s="448">
        <f t="shared" ref="BS128:BT131" si="215">IF($J128="EFETIVO",BS$10,0)</f>
        <v>288.66000000000003</v>
      </c>
      <c r="BT128" s="448">
        <f t="shared" si="215"/>
        <v>346.26</v>
      </c>
      <c r="BU128" s="448">
        <f>((AC128+AO128+AT128+BJ128+BS128+BT128)*E128)</f>
        <v>252.04560625599999</v>
      </c>
      <c r="BV128" s="448">
        <f>BQ128*E128</f>
        <v>50.104863999999999</v>
      </c>
      <c r="BW128" s="448">
        <f>SUM(BU128:BV128)</f>
        <v>302.15047025600001</v>
      </c>
      <c r="BX128" s="448">
        <f>BS128+BT128+BW128</f>
        <v>937.07047025600014</v>
      </c>
      <c r="BY128" s="448">
        <f t="shared" ref="BY128:BY131" si="216">(AC128+AO128+AT128+BJ128+BX128)</f>
        <v>3842.1168502559999</v>
      </c>
      <c r="BZ128" s="448">
        <f>BQ128</f>
        <v>703.72</v>
      </c>
      <c r="CA128" s="448">
        <f>BY128+BZ128</f>
        <v>4545.8368502559997</v>
      </c>
      <c r="CB128" s="449"/>
    </row>
    <row r="129" spans="1:80" s="450" customFormat="1" ht="15.75" customHeight="1">
      <c r="A129" s="435">
        <v>1</v>
      </c>
      <c r="B129" s="435">
        <v>0</v>
      </c>
      <c r="C129" s="435" t="s">
        <v>3844</v>
      </c>
      <c r="D129" s="436">
        <f>VLOOKUP(C129,ISS!A:B,2,0)</f>
        <v>0.03</v>
      </c>
      <c r="E129" s="437">
        <f>IF(D129=2%,5.99%,IF(D129=2.5%,6.55%,IF(D129=3%,7.12%,IF(D129=3.5%,7.7%,IF(D129=4%,8.28%,IF(D129=5%,9.46%))))))</f>
        <v>7.1199999999999999E-2</v>
      </c>
      <c r="F129" s="438">
        <v>205</v>
      </c>
      <c r="G129" s="439">
        <v>124205</v>
      </c>
      <c r="H129" s="440" t="s">
        <v>4042</v>
      </c>
      <c r="I129" s="435" t="s">
        <v>3848</v>
      </c>
      <c r="J129" s="102" t="s">
        <v>3527</v>
      </c>
      <c r="K129" s="435" t="str">
        <f>CONCATENATE(C129,I129)</f>
        <v>São Sebastião do ParaísoVIGILANTE ARMADO - 12X36 DIURNO</v>
      </c>
      <c r="L129" s="441" t="s">
        <v>3931</v>
      </c>
      <c r="M129" s="441"/>
      <c r="N129" s="102"/>
      <c r="O129" s="102"/>
      <c r="P129" s="102"/>
      <c r="Q129" s="442">
        <f>VLOOKUP('BANCO DADOS-CUSTO TOTAL'!$K129,PARAMETROS!$E:AX,3,0)</f>
        <v>1602.86</v>
      </c>
      <c r="R129" s="442">
        <f>VLOOKUP('BANCO DADOS-CUSTO TOTAL'!$K129,PARAMETROS!$E:AY,4,0)</f>
        <v>0</v>
      </c>
      <c r="S129" s="442">
        <f>VLOOKUP('BANCO DADOS-CUSTO TOTAL'!$K129,PARAMETROS!$E:AZ,5,0)</f>
        <v>480.85799999999995</v>
      </c>
      <c r="T129" s="442">
        <f>VLOOKUP('BANCO DADOS-CUSTO TOTAL'!$K129,PARAMETROS!$E:BA,6,0)</f>
        <v>0</v>
      </c>
      <c r="U129" s="442">
        <f>VLOOKUP('BANCO DADOS-CUSTO TOTAL'!$K129,PARAMETROS!$E:BB,7,0)</f>
        <v>0</v>
      </c>
      <c r="V129" s="442">
        <f>VLOOKUP('BANCO DADOS-CUSTO TOTAL'!$K129,PARAMETROS!$E:BC,8,0)</f>
        <v>0</v>
      </c>
      <c r="W129" s="442">
        <f>VLOOKUP('BANCO DADOS-CUSTO TOTAL'!$K129,PARAMETROS!$E:BD,9,0)</f>
        <v>146.80740454545455</v>
      </c>
      <c r="X129" s="442">
        <f>VLOOKUP('BANCO DADOS-CUSTO TOTAL'!$K129,PARAMETROS!$E:BE,10,0)</f>
        <v>47.357227272727279</v>
      </c>
      <c r="Y129" s="443">
        <f t="shared" si="205"/>
        <v>2277.88</v>
      </c>
      <c r="Z129" s="456"/>
      <c r="AA129" s="444">
        <v>9</v>
      </c>
      <c r="AB129" s="445">
        <f>IF(J129="EFETIVO",IF(AND(L129="",M129=""),$M$5,IF(AND(L129&lt;&gt;"",M129&lt;&gt;"",MONTH(L129)=MONTH(M129),YEAR(L129)=YEAR(M129)),M129-L129+1,IF(AND(L129&lt;&gt;"",M129&lt;&gt;"",MONTH(L129)&lt;&gt;MONTH(M129)),DAY(M129),IF(AND(L129="",M129&lt;&gt;"",MONTH($H$5)=MONTH(M129),YEAR(M129)=YEAR($H$5)),M129-$K$5+1,IF(AND(L129&lt;&gt;"",M129="",MONTH($K$5)=MONTH(L129),YEAR($K$5)=YEAR(L129)),30-DAY(L129)+1,$M$5))))),0)</f>
        <v>0</v>
      </c>
      <c r="AC129" s="446">
        <f>(Y129/30)*(AA129-Z129)</f>
        <v>683.36400000000003</v>
      </c>
      <c r="AD129" s="447">
        <f>Y129</f>
        <v>2277.88</v>
      </c>
      <c r="AE129" s="447">
        <f>IF(AND(J129="EFETIVO",N129="FÉRIAS"),AD129,IF(J129="EFETIVO",AC129,0))</f>
        <v>0</v>
      </c>
      <c r="AF129" s="443">
        <f>IF(J129="EFETIVO",VLOOKUP(K129,PARAMETROS!$E:AX,11,0),0)</f>
        <v>0</v>
      </c>
      <c r="AG129" s="443">
        <f>VLOOKUP(H129,'VA E VT - APOIO.LIMPEZA'!F:AX,14,0)</f>
        <v>0</v>
      </c>
      <c r="AH129" s="443">
        <f>VLOOKUP($H129,'VA E VT - APOIO.LIMPEZA'!$F:AY,20,0)</f>
        <v>0</v>
      </c>
      <c r="AI129" s="443">
        <f>IF($J129="EFETIVO",VLOOKUP($K129,PARAMETROS!$E:BA,14,0),0)</f>
        <v>0</v>
      </c>
      <c r="AJ129" s="443">
        <f>IF($J129="EFETIVO",VLOOKUP($K129,PARAMETROS!$E:BB,15,0),0)</f>
        <v>0</v>
      </c>
      <c r="AK129" s="443"/>
      <c r="AL129" s="443"/>
      <c r="AM129" s="443"/>
      <c r="AN129" s="443"/>
      <c r="AO129" s="448">
        <f t="shared" si="206"/>
        <v>0</v>
      </c>
      <c r="AP129" s="443">
        <f>IF($J129="EFETIVO",VLOOKUP($K129,PARAMETROS!$E:BH,20,0),0)</f>
        <v>0</v>
      </c>
      <c r="AQ129" s="446"/>
      <c r="AR129" s="443">
        <f>IF($J129="EFETIVO",VLOOKUP($K129,PARAMETROS!$E:BJ,22,0),0)</f>
        <v>0</v>
      </c>
      <c r="AS129" s="446"/>
      <c r="AT129" s="448">
        <f t="shared" si="207"/>
        <v>0</v>
      </c>
      <c r="AU129" s="448">
        <f>$AU$10*AC129</f>
        <v>251.47795200000002</v>
      </c>
      <c r="AV129" s="448">
        <f t="shared" si="208"/>
        <v>0</v>
      </c>
      <c r="AW129" s="448">
        <f t="shared" si="208"/>
        <v>0</v>
      </c>
      <c r="AX129" s="448">
        <f t="shared" si="208"/>
        <v>0</v>
      </c>
      <c r="AY129" s="448">
        <f t="shared" si="208"/>
        <v>0</v>
      </c>
      <c r="AZ129" s="448">
        <f t="shared" si="208"/>
        <v>0</v>
      </c>
      <c r="BA129" s="448">
        <f t="shared" si="208"/>
        <v>0</v>
      </c>
      <c r="BB129" s="448">
        <f t="shared" si="208"/>
        <v>0</v>
      </c>
      <c r="BC129" s="448">
        <f t="shared" si="209"/>
        <v>0</v>
      </c>
      <c r="BD129" s="448">
        <f t="shared" si="210"/>
        <v>0</v>
      </c>
      <c r="BE129" s="448">
        <f t="shared" si="210"/>
        <v>0</v>
      </c>
      <c r="BF129" s="448">
        <f t="shared" si="210"/>
        <v>0</v>
      </c>
      <c r="BG129" s="448">
        <f t="shared" si="210"/>
        <v>0</v>
      </c>
      <c r="BH129" s="448">
        <f t="shared" si="210"/>
        <v>0</v>
      </c>
      <c r="BI129" s="448">
        <f t="shared" si="211"/>
        <v>0</v>
      </c>
      <c r="BJ129" s="448">
        <f t="shared" si="212"/>
        <v>251.47</v>
      </c>
      <c r="BK129" s="448">
        <f>IF($N129="FÉRIAS",$AD129*$BK$10,IF($AB129&gt;=15,$AD129*$BK$10,0))</f>
        <v>0</v>
      </c>
      <c r="BL129" s="448">
        <f>IF($N129="FÉRIAS",$AD129*$BL$10,IF($AB129&gt;=15,$AD129*$BL$10,0))</f>
        <v>0</v>
      </c>
      <c r="BM129" s="448">
        <f>$BM$10*BK129</f>
        <v>0</v>
      </c>
      <c r="BN129" s="448">
        <f>$BN$10*BL129</f>
        <v>0</v>
      </c>
      <c r="BO129" s="448">
        <f>$BO$10*AE129</f>
        <v>0</v>
      </c>
      <c r="BP129" s="448"/>
      <c r="BQ129" s="448">
        <f t="shared" si="213"/>
        <v>0</v>
      </c>
      <c r="BR129" s="448">
        <f t="shared" si="214"/>
        <v>251.47</v>
      </c>
      <c r="BS129" s="448">
        <f t="shared" si="215"/>
        <v>0</v>
      </c>
      <c r="BT129" s="448">
        <f t="shared" si="215"/>
        <v>0</v>
      </c>
      <c r="BU129" s="448">
        <f>((AC129+AO129+AT129+BJ129+BS129+BT129)*E129)</f>
        <v>66.560180799999998</v>
      </c>
      <c r="BV129" s="448">
        <f>BQ129*E129</f>
        <v>0</v>
      </c>
      <c r="BW129" s="448">
        <f>SUM(BU129:BV129)</f>
        <v>66.560180799999998</v>
      </c>
      <c r="BX129" s="448">
        <f>BS129+BT129+BW129</f>
        <v>66.560180799999998</v>
      </c>
      <c r="BY129" s="448">
        <f t="shared" si="216"/>
        <v>1001.3941808000001</v>
      </c>
      <c r="BZ129" s="448">
        <f>BQ129</f>
        <v>0</v>
      </c>
      <c r="CA129" s="448">
        <f>BY129+BZ129</f>
        <v>1001.3941808000001</v>
      </c>
      <c r="CB129" s="449" t="s">
        <v>4043</v>
      </c>
    </row>
    <row r="130" spans="1:80" s="450" customFormat="1" ht="15.75" customHeight="1">
      <c r="A130" s="435">
        <v>1</v>
      </c>
      <c r="B130" s="435">
        <v>1</v>
      </c>
      <c r="C130" s="435" t="s">
        <v>3844</v>
      </c>
      <c r="D130" s="436">
        <f>VLOOKUP(C130,ISS!A:B,2,0)</f>
        <v>0.03</v>
      </c>
      <c r="E130" s="437">
        <f>IF(D130=2%,5.99%,IF(D130=2.5%,6.55%,IF(D130=3%,7.12%,IF(D130=3.5%,7.7%,IF(D130=4%,8.28%,IF(D130=5%,9.46%))))))</f>
        <v>7.1199999999999999E-2</v>
      </c>
      <c r="F130" s="438">
        <v>89</v>
      </c>
      <c r="G130" s="439">
        <v>12429</v>
      </c>
      <c r="H130" s="440" t="s">
        <v>4024</v>
      </c>
      <c r="I130" s="435" t="s">
        <v>3848</v>
      </c>
      <c r="J130" s="102" t="s">
        <v>3521</v>
      </c>
      <c r="K130" s="435" t="str">
        <f>CONCATENATE(C130,I130)</f>
        <v>São Sebastião do ParaísoVIGILANTE ARMADO - 12X36 DIURNO</v>
      </c>
      <c r="L130" s="441" t="s">
        <v>3883</v>
      </c>
      <c r="M130" s="441"/>
      <c r="N130" s="102" t="s">
        <v>3569</v>
      </c>
      <c r="O130" s="102" t="s">
        <v>3876</v>
      </c>
      <c r="P130" s="102" t="s">
        <v>3877</v>
      </c>
      <c r="Q130" s="442">
        <f>VLOOKUP('BANCO DADOS-CUSTO TOTAL'!$K130,PARAMETROS!$E:AX,3,0)</f>
        <v>1602.86</v>
      </c>
      <c r="R130" s="442">
        <f>VLOOKUP('BANCO DADOS-CUSTO TOTAL'!$K130,PARAMETROS!$E:AY,4,0)</f>
        <v>0</v>
      </c>
      <c r="S130" s="442">
        <f>VLOOKUP('BANCO DADOS-CUSTO TOTAL'!$K130,PARAMETROS!$E:AZ,5,0)</f>
        <v>480.85799999999995</v>
      </c>
      <c r="T130" s="442">
        <f>VLOOKUP('BANCO DADOS-CUSTO TOTAL'!$K130,PARAMETROS!$E:BA,6,0)</f>
        <v>0</v>
      </c>
      <c r="U130" s="442">
        <f>VLOOKUP('BANCO DADOS-CUSTO TOTAL'!$K130,PARAMETROS!$E:BB,7,0)</f>
        <v>0</v>
      </c>
      <c r="V130" s="442">
        <f>VLOOKUP('BANCO DADOS-CUSTO TOTAL'!$K130,PARAMETROS!$E:BC,8,0)</f>
        <v>0</v>
      </c>
      <c r="W130" s="442">
        <f>VLOOKUP('BANCO DADOS-CUSTO TOTAL'!$K130,PARAMETROS!$E:BD,9,0)</f>
        <v>146.80740454545455</v>
      </c>
      <c r="X130" s="442">
        <f>VLOOKUP('BANCO DADOS-CUSTO TOTAL'!$K130,PARAMETROS!$E:BE,10,0)</f>
        <v>47.357227272727279</v>
      </c>
      <c r="Y130" s="443">
        <f t="shared" si="205"/>
        <v>2277.88</v>
      </c>
      <c r="Z130" s="456"/>
      <c r="AA130" s="444">
        <v>9</v>
      </c>
      <c r="AB130" s="445">
        <f>IF(J130="EFETIVO",IF(AND(L130="",M130=""),$M$5,IF(AND(L130&lt;&gt;"",M130&lt;&gt;"",MONTH(L130)=MONTH(M130),YEAR(L130)=YEAR(M130)),M130-L130+1,IF(AND(L130&lt;&gt;"",M130&lt;&gt;"",MONTH(L130)&lt;&gt;MONTH(M130)),DAY(M130),IF(AND(L130="",M130&lt;&gt;"",MONTH($H$5)=MONTH(M130),YEAR(M130)=YEAR($H$5)),M130-$K$5+1,IF(AND(L130&lt;&gt;"",M130="",MONTH($K$5)=MONTH(L130),YEAR($K$5)=YEAR(L130)),30-DAY(L130)+1,$M$5))))),0)</f>
        <v>30</v>
      </c>
      <c r="AC130" s="446">
        <f>(Y130/30)*(AA130-Z130)</f>
        <v>683.36400000000003</v>
      </c>
      <c r="AD130" s="447">
        <f>Y130</f>
        <v>2277.88</v>
      </c>
      <c r="AE130" s="447">
        <f>IF(AND(J130="EFETIVO",N130="FÉRIAS"),AD130,IF(J130="EFETIVO",AC130,0))</f>
        <v>2277.88</v>
      </c>
      <c r="AF130" s="443">
        <f>IF(J130="EFETIVO",VLOOKUP(K130,PARAMETROS!$E:AX,11,0),0)</f>
        <v>112.9</v>
      </c>
      <c r="AG130" s="443">
        <f>VLOOKUP(H130,'VA E VT - APOIO.LIMPEZA'!F:AX,14,0)</f>
        <v>223.06049999999999</v>
      </c>
      <c r="AH130" s="443">
        <f>VLOOKUP($H130,'VA E VT - APOIO.LIMPEZA'!$F:AY,20,0)</f>
        <v>85.848520000000008</v>
      </c>
      <c r="AI130" s="443">
        <f>IF($J130="EFETIVO",VLOOKUP($K130,PARAMETROS!$E:BA,14,0),0)</f>
        <v>91.08</v>
      </c>
      <c r="AJ130" s="443">
        <f>IF($J130="EFETIVO",VLOOKUP($K130,PARAMETROS!$E:BB,15,0),0)</f>
        <v>17.03</v>
      </c>
      <c r="AK130" s="443"/>
      <c r="AL130" s="443"/>
      <c r="AM130" s="443"/>
      <c r="AN130" s="443"/>
      <c r="AO130" s="448">
        <f t="shared" si="206"/>
        <v>529.91902000000005</v>
      </c>
      <c r="AP130" s="443">
        <f>IF($J130="EFETIVO",VLOOKUP($K130,PARAMETROS!$E:BH,20,0),0)</f>
        <v>62.37</v>
      </c>
      <c r="AQ130" s="446"/>
      <c r="AR130" s="443">
        <f>IF($J130="EFETIVO",VLOOKUP($K130,PARAMETROS!$E:BJ,22,0),0)</f>
        <v>58.53</v>
      </c>
      <c r="AS130" s="446"/>
      <c r="AT130" s="448">
        <f t="shared" si="207"/>
        <v>120.9</v>
      </c>
      <c r="AU130" s="448">
        <f>$AU$10*AC130</f>
        <v>251.47795200000002</v>
      </c>
      <c r="AV130" s="448">
        <f t="shared" si="208"/>
        <v>4.1001840000000005</v>
      </c>
      <c r="AW130" s="448">
        <f t="shared" si="208"/>
        <v>11.3894</v>
      </c>
      <c r="AX130" s="448">
        <f t="shared" si="208"/>
        <v>0.91115200000000007</v>
      </c>
      <c r="AY130" s="448">
        <f t="shared" si="208"/>
        <v>0.45557600000000004</v>
      </c>
      <c r="AZ130" s="448">
        <f t="shared" si="208"/>
        <v>7.9725800000000007</v>
      </c>
      <c r="BA130" s="448">
        <f t="shared" si="208"/>
        <v>2.9339094400000003</v>
      </c>
      <c r="BB130" s="448">
        <f t="shared" si="208"/>
        <v>3.8723960000000002</v>
      </c>
      <c r="BC130" s="448">
        <f t="shared" si="209"/>
        <v>27.53</v>
      </c>
      <c r="BD130" s="448">
        <f t="shared" si="210"/>
        <v>31.662531999999999</v>
      </c>
      <c r="BE130" s="448">
        <f t="shared" si="210"/>
        <v>19.134191999999999</v>
      </c>
      <c r="BF130" s="448">
        <f t="shared" si="210"/>
        <v>7.517004</v>
      </c>
      <c r="BG130" s="448">
        <f t="shared" si="210"/>
        <v>0</v>
      </c>
      <c r="BH130" s="448">
        <f t="shared" si="210"/>
        <v>21.459451904000002</v>
      </c>
      <c r="BI130" s="448">
        <f t="shared" si="211"/>
        <v>79.77</v>
      </c>
      <c r="BJ130" s="448">
        <f t="shared" si="212"/>
        <v>362.87</v>
      </c>
      <c r="BK130" s="448">
        <f>IF($N130="FÉRIAS",$AD130*$BK$10,IF($AB130&gt;=15,$AD130*$BK$10,0))</f>
        <v>189.74740400000002</v>
      </c>
      <c r="BL130" s="448">
        <f>IF($N130="FÉRIAS",$AD130*$BL$10,IF($AB130&gt;=15,$AD130*$BL$10,0))</f>
        <v>253.07246800000001</v>
      </c>
      <c r="BM130" s="448">
        <f>$BM$10*BK130</f>
        <v>69.827044672</v>
      </c>
      <c r="BN130" s="448">
        <f>$BN$10*BL130</f>
        <v>93.130668224000004</v>
      </c>
      <c r="BO130" s="448">
        <f>$BO$10*AE130</f>
        <v>97.94883999999999</v>
      </c>
      <c r="BP130" s="448"/>
      <c r="BQ130" s="448">
        <f t="shared" si="213"/>
        <v>703.72</v>
      </c>
      <c r="BR130" s="448">
        <f t="shared" si="214"/>
        <v>1066.5899999999999</v>
      </c>
      <c r="BS130" s="448">
        <f t="shared" si="215"/>
        <v>288.66000000000003</v>
      </c>
      <c r="BT130" s="448">
        <f t="shared" si="215"/>
        <v>346.26</v>
      </c>
      <c r="BU130" s="448">
        <f>((AC130+AO130+AT130+BJ130+BS130+BT130)*E130)</f>
        <v>166.03647902400002</v>
      </c>
      <c r="BV130" s="448">
        <f>BQ130*E130</f>
        <v>50.104863999999999</v>
      </c>
      <c r="BW130" s="448">
        <f>SUM(BU130:BV130)</f>
        <v>216.14134302400001</v>
      </c>
      <c r="BX130" s="448">
        <f>BS130+BT130+BW130</f>
        <v>851.06134302400005</v>
      </c>
      <c r="BY130" s="448">
        <f t="shared" si="216"/>
        <v>2548.1143630240003</v>
      </c>
      <c r="BZ130" s="448">
        <f>BQ130</f>
        <v>703.72</v>
      </c>
      <c r="CA130" s="448">
        <f>BY130+BZ130</f>
        <v>3251.8343630240006</v>
      </c>
      <c r="CB130" s="449"/>
    </row>
    <row r="131" spans="1:80" s="450" customFormat="1" ht="15.75" customHeight="1">
      <c r="A131" s="435">
        <v>1</v>
      </c>
      <c r="B131" s="435">
        <v>0</v>
      </c>
      <c r="C131" s="435" t="s">
        <v>3844</v>
      </c>
      <c r="D131" s="436">
        <f>VLOOKUP(C131,ISS!A:B,2,0)</f>
        <v>0.03</v>
      </c>
      <c r="E131" s="437">
        <f>IF(D131=2%,5.99%,IF(D131=2.5%,6.55%,IF(D131=3%,7.12%,IF(D131=3.5%,7.7%,IF(D131=4%,8.28%,IF(D131=5%,9.46%))))))</f>
        <v>7.1199999999999999E-2</v>
      </c>
      <c r="F131" s="438">
        <v>205</v>
      </c>
      <c r="G131" s="439">
        <v>124205</v>
      </c>
      <c r="H131" s="440" t="s">
        <v>4023</v>
      </c>
      <c r="I131" s="435" t="s">
        <v>3848</v>
      </c>
      <c r="J131" s="102" t="s">
        <v>3527</v>
      </c>
      <c r="K131" s="435" t="str">
        <f>CONCATENATE(C131,I131)</f>
        <v>São Sebastião do ParaísoVIGILANTE ARMADO - 12X36 DIURNO</v>
      </c>
      <c r="L131" s="441" t="s">
        <v>3876</v>
      </c>
      <c r="M131" s="441"/>
      <c r="N131" s="102"/>
      <c r="O131" s="102"/>
      <c r="P131" s="102"/>
      <c r="Q131" s="442">
        <f>VLOOKUP('BANCO DADOS-CUSTO TOTAL'!$K131,PARAMETROS!$E:AX,3,0)</f>
        <v>1602.86</v>
      </c>
      <c r="R131" s="442">
        <f>VLOOKUP('BANCO DADOS-CUSTO TOTAL'!$K131,PARAMETROS!$E:AY,4,0)</f>
        <v>0</v>
      </c>
      <c r="S131" s="442">
        <f>VLOOKUP('BANCO DADOS-CUSTO TOTAL'!$K131,PARAMETROS!$E:AZ,5,0)</f>
        <v>480.85799999999995</v>
      </c>
      <c r="T131" s="442">
        <f>VLOOKUP('BANCO DADOS-CUSTO TOTAL'!$K131,PARAMETROS!$E:BA,6,0)</f>
        <v>0</v>
      </c>
      <c r="U131" s="442">
        <f>VLOOKUP('BANCO DADOS-CUSTO TOTAL'!$K131,PARAMETROS!$E:BB,7,0)</f>
        <v>0</v>
      </c>
      <c r="V131" s="442">
        <f>VLOOKUP('BANCO DADOS-CUSTO TOTAL'!$K131,PARAMETROS!$E:BC,8,0)</f>
        <v>0</v>
      </c>
      <c r="W131" s="442">
        <f>VLOOKUP('BANCO DADOS-CUSTO TOTAL'!$K131,PARAMETROS!$E:BD,9,0)</f>
        <v>146.80740454545455</v>
      </c>
      <c r="X131" s="442">
        <f>VLOOKUP('BANCO DADOS-CUSTO TOTAL'!$K131,PARAMETROS!$E:BE,10,0)</f>
        <v>47.357227272727279</v>
      </c>
      <c r="Y131" s="443">
        <f t="shared" si="205"/>
        <v>2277.88</v>
      </c>
      <c r="Z131" s="456"/>
      <c r="AA131" s="444">
        <v>21</v>
      </c>
      <c r="AB131" s="445">
        <f>IF(J131="EFETIVO",IF(AND(L131="",M131=""),$M$5,IF(AND(L131&lt;&gt;"",M131&lt;&gt;"",MONTH(L131)=MONTH(M131),YEAR(L131)=YEAR(M131)),M131-L131+1,IF(AND(L131&lt;&gt;"",M131&lt;&gt;"",MONTH(L131)&lt;&gt;MONTH(M131)),DAY(M131),IF(AND(L131="",M131&lt;&gt;"",MONTH($H$5)=MONTH(M131),YEAR(M131)=YEAR($H$5)),M131-$K$5+1,IF(AND(L131&lt;&gt;"",M131="",MONTH($K$5)=MONTH(L131),YEAR($K$5)=YEAR(L131)),30-DAY(L131)+1,$M$5))))),0)</f>
        <v>0</v>
      </c>
      <c r="AC131" s="446">
        <f>(Y131/30)*(AA131-Z131)</f>
        <v>1594.5160000000001</v>
      </c>
      <c r="AD131" s="447">
        <f>Y131</f>
        <v>2277.88</v>
      </c>
      <c r="AE131" s="447">
        <f>IF(AND(J131="EFETIVO",N131="FÉRIAS"),AD131,IF(J131="EFETIVO",AC131,0))</f>
        <v>0</v>
      </c>
      <c r="AF131" s="443">
        <f>IF(J131="EFETIVO",VLOOKUP(K131,PARAMETROS!$E:AX,11,0),0)</f>
        <v>0</v>
      </c>
      <c r="AG131" s="443">
        <f>VLOOKUP(H131,'VA E VT - APOIO.LIMPEZA'!F:AX,14,0)</f>
        <v>0</v>
      </c>
      <c r="AH131" s="443">
        <f>VLOOKUP($H131,'VA E VT - APOIO.LIMPEZA'!$F:AY,20,0)</f>
        <v>0</v>
      </c>
      <c r="AI131" s="443">
        <f>IF($J131="EFETIVO",VLOOKUP($K131,PARAMETROS!$E:BA,14,0),0)</f>
        <v>0</v>
      </c>
      <c r="AJ131" s="443">
        <f>IF($J131="EFETIVO",VLOOKUP($K131,PARAMETROS!$E:BB,15,0),0)</f>
        <v>0</v>
      </c>
      <c r="AK131" s="443"/>
      <c r="AL131" s="443"/>
      <c r="AM131" s="443"/>
      <c r="AN131" s="443"/>
      <c r="AO131" s="448">
        <f t="shared" si="206"/>
        <v>0</v>
      </c>
      <c r="AP131" s="443">
        <f>IF($J131="EFETIVO",VLOOKUP($K131,PARAMETROS!$E:BH,20,0),0)</f>
        <v>0</v>
      </c>
      <c r="AQ131" s="446"/>
      <c r="AR131" s="443">
        <f>IF($J131="EFETIVO",VLOOKUP($K131,PARAMETROS!$E:BJ,22,0),0)</f>
        <v>0</v>
      </c>
      <c r="AS131" s="446"/>
      <c r="AT131" s="448">
        <f t="shared" si="207"/>
        <v>0</v>
      </c>
      <c r="AU131" s="448">
        <f>$AU$10*AC131</f>
        <v>586.78188799999998</v>
      </c>
      <c r="AV131" s="448">
        <f t="shared" si="208"/>
        <v>0</v>
      </c>
      <c r="AW131" s="448">
        <f t="shared" si="208"/>
        <v>0</v>
      </c>
      <c r="AX131" s="448">
        <f t="shared" si="208"/>
        <v>0</v>
      </c>
      <c r="AY131" s="448">
        <f t="shared" si="208"/>
        <v>0</v>
      </c>
      <c r="AZ131" s="448">
        <f t="shared" si="208"/>
        <v>0</v>
      </c>
      <c r="BA131" s="448">
        <f t="shared" si="208"/>
        <v>0</v>
      </c>
      <c r="BB131" s="448">
        <f t="shared" si="208"/>
        <v>0</v>
      </c>
      <c r="BC131" s="448">
        <f t="shared" si="209"/>
        <v>0</v>
      </c>
      <c r="BD131" s="448">
        <f t="shared" si="210"/>
        <v>0</v>
      </c>
      <c r="BE131" s="448">
        <f t="shared" si="210"/>
        <v>0</v>
      </c>
      <c r="BF131" s="448">
        <f t="shared" si="210"/>
        <v>0</v>
      </c>
      <c r="BG131" s="448">
        <f t="shared" si="210"/>
        <v>0</v>
      </c>
      <c r="BH131" s="448">
        <f t="shared" si="210"/>
        <v>0</v>
      </c>
      <c r="BI131" s="448">
        <f t="shared" si="211"/>
        <v>0</v>
      </c>
      <c r="BJ131" s="448">
        <f t="shared" si="212"/>
        <v>586.78</v>
      </c>
      <c r="BK131" s="448">
        <f>IF($N131="FÉRIAS",$AD131*$BK$10,IF($AB131&gt;=15,$AD131*$BK$10,0))</f>
        <v>0</v>
      </c>
      <c r="BL131" s="448">
        <f>IF($N131="FÉRIAS",$AD131*$BL$10,IF($AB131&gt;=15,$AD131*$BL$10,0))</f>
        <v>0</v>
      </c>
      <c r="BM131" s="448">
        <f>$BM$10*BK131</f>
        <v>0</v>
      </c>
      <c r="BN131" s="448">
        <f>$BN$10*BL131</f>
        <v>0</v>
      </c>
      <c r="BO131" s="448">
        <f>$BO$10*AE131</f>
        <v>0</v>
      </c>
      <c r="BP131" s="448"/>
      <c r="BQ131" s="448">
        <f t="shared" si="213"/>
        <v>0</v>
      </c>
      <c r="BR131" s="448">
        <f t="shared" si="214"/>
        <v>586.78</v>
      </c>
      <c r="BS131" s="448">
        <f t="shared" si="215"/>
        <v>0</v>
      </c>
      <c r="BT131" s="448">
        <f t="shared" si="215"/>
        <v>0</v>
      </c>
      <c r="BU131" s="448">
        <f>((AC131+AO131+AT131+BJ131+BS131+BT131)*E131)</f>
        <v>155.30827520000003</v>
      </c>
      <c r="BV131" s="448">
        <f>BQ131*E131</f>
        <v>0</v>
      </c>
      <c r="BW131" s="448">
        <f>SUM(BU131:BV131)</f>
        <v>155.30827520000003</v>
      </c>
      <c r="BX131" s="448">
        <f>BS131+BT131+BW131</f>
        <v>155.30827520000003</v>
      </c>
      <c r="BY131" s="448">
        <f t="shared" si="216"/>
        <v>2336.6042752000003</v>
      </c>
      <c r="BZ131" s="448">
        <f>BQ131</f>
        <v>0</v>
      </c>
      <c r="CA131" s="448">
        <f>BY131+BZ131</f>
        <v>2336.6042752000003</v>
      </c>
      <c r="CB131" s="449" t="s">
        <v>3929</v>
      </c>
    </row>
    <row r="132" spans="1:80" s="480" customFormat="1" ht="15.75" customHeight="1">
      <c r="A132" s="462"/>
      <c r="B132" s="462"/>
      <c r="C132" s="462" t="s">
        <v>3907</v>
      </c>
      <c r="D132" s="463"/>
      <c r="E132" s="464"/>
      <c r="F132" s="465"/>
      <c r="G132" s="466"/>
      <c r="H132" s="467"/>
      <c r="I132" s="462"/>
      <c r="J132" s="468"/>
      <c r="K132" s="462"/>
      <c r="L132" s="469"/>
      <c r="M132" s="469"/>
      <c r="N132" s="468"/>
      <c r="O132" s="468"/>
      <c r="P132" s="468"/>
      <c r="Q132" s="470"/>
      <c r="R132" s="470"/>
      <c r="S132" s="470"/>
      <c r="T132" s="470"/>
      <c r="U132" s="470"/>
      <c r="V132" s="470"/>
      <c r="W132" s="470"/>
      <c r="X132" s="470"/>
      <c r="Y132" s="471"/>
      <c r="Z132" s="472"/>
      <c r="AA132" s="473"/>
      <c r="AB132" s="474"/>
      <c r="AC132" s="475"/>
      <c r="AD132" s="476"/>
      <c r="AE132" s="470"/>
      <c r="AF132" s="477">
        <f t="shared" ref="AF132:BZ132" si="217">SUBTOTAL(9,AF128:AF131)</f>
        <v>225.8</v>
      </c>
      <c r="AG132" s="477">
        <f t="shared" si="217"/>
        <v>446.12099999999998</v>
      </c>
      <c r="AH132" s="477">
        <f t="shared" si="217"/>
        <v>133.22840000000002</v>
      </c>
      <c r="AI132" s="477">
        <f t="shared" si="217"/>
        <v>182.16</v>
      </c>
      <c r="AJ132" s="477">
        <f t="shared" si="217"/>
        <v>34.06</v>
      </c>
      <c r="AK132" s="477">
        <f t="shared" si="217"/>
        <v>0</v>
      </c>
      <c r="AL132" s="477">
        <f t="shared" si="217"/>
        <v>0</v>
      </c>
      <c r="AM132" s="477">
        <f t="shared" si="217"/>
        <v>0</v>
      </c>
      <c r="AN132" s="477">
        <f t="shared" si="217"/>
        <v>0</v>
      </c>
      <c r="AO132" s="477">
        <f t="shared" si="217"/>
        <v>1021.3694</v>
      </c>
      <c r="AP132" s="477">
        <f t="shared" si="217"/>
        <v>124.74</v>
      </c>
      <c r="AQ132" s="477">
        <f t="shared" si="217"/>
        <v>0</v>
      </c>
      <c r="AR132" s="477">
        <f t="shared" si="217"/>
        <v>117.06</v>
      </c>
      <c r="AS132" s="477">
        <f t="shared" si="217"/>
        <v>0</v>
      </c>
      <c r="AT132" s="477">
        <f t="shared" si="217"/>
        <v>241.8</v>
      </c>
      <c r="AU132" s="477">
        <f t="shared" si="217"/>
        <v>1676.5196799999999</v>
      </c>
      <c r="AV132" s="477">
        <f t="shared" si="217"/>
        <v>8.200368000000001</v>
      </c>
      <c r="AW132" s="477">
        <f t="shared" si="217"/>
        <v>22.7788</v>
      </c>
      <c r="AX132" s="477">
        <f t="shared" si="217"/>
        <v>1.8223040000000001</v>
      </c>
      <c r="AY132" s="477">
        <f t="shared" si="217"/>
        <v>0.91115200000000007</v>
      </c>
      <c r="AZ132" s="477">
        <f t="shared" si="217"/>
        <v>15.945160000000001</v>
      </c>
      <c r="BA132" s="477">
        <f t="shared" si="217"/>
        <v>5.8678188800000006</v>
      </c>
      <c r="BB132" s="477">
        <f t="shared" si="217"/>
        <v>7.7447920000000003</v>
      </c>
      <c r="BC132" s="477">
        <f t="shared" si="217"/>
        <v>55.06</v>
      </c>
      <c r="BD132" s="477">
        <f t="shared" si="217"/>
        <v>63.325063999999998</v>
      </c>
      <c r="BE132" s="477">
        <f t="shared" si="217"/>
        <v>38.268383999999998</v>
      </c>
      <c r="BF132" s="477">
        <f t="shared" si="217"/>
        <v>15.034008</v>
      </c>
      <c r="BG132" s="477">
        <f t="shared" si="217"/>
        <v>0</v>
      </c>
      <c r="BH132" s="477">
        <f t="shared" si="217"/>
        <v>42.918903808000003</v>
      </c>
      <c r="BI132" s="477">
        <f t="shared" si="217"/>
        <v>159.54</v>
      </c>
      <c r="BJ132" s="477">
        <f t="shared" si="217"/>
        <v>1899.3</v>
      </c>
      <c r="BK132" s="477">
        <f t="shared" si="217"/>
        <v>379.49480800000003</v>
      </c>
      <c r="BL132" s="477">
        <f t="shared" si="217"/>
        <v>506.14493600000003</v>
      </c>
      <c r="BM132" s="477">
        <f t="shared" si="217"/>
        <v>139.654089344</v>
      </c>
      <c r="BN132" s="477">
        <f t="shared" si="217"/>
        <v>186.26133644800001</v>
      </c>
      <c r="BO132" s="477">
        <f t="shared" si="217"/>
        <v>195.89767999999998</v>
      </c>
      <c r="BP132" s="477">
        <f t="shared" si="217"/>
        <v>0</v>
      </c>
      <c r="BQ132" s="477">
        <f t="shared" si="217"/>
        <v>1407.44</v>
      </c>
      <c r="BR132" s="477">
        <f t="shared" si="217"/>
        <v>3306.74</v>
      </c>
      <c r="BS132" s="477">
        <f t="shared" si="217"/>
        <v>577.32000000000005</v>
      </c>
      <c r="BT132" s="477">
        <f t="shared" si="217"/>
        <v>692.52</v>
      </c>
      <c r="BU132" s="477">
        <f t="shared" si="217"/>
        <v>639.95054128000004</v>
      </c>
      <c r="BV132" s="477">
        <f t="shared" si="217"/>
        <v>100.209728</v>
      </c>
      <c r="BW132" s="477">
        <f t="shared" si="217"/>
        <v>740.16026928000008</v>
      </c>
      <c r="BX132" s="477">
        <f t="shared" si="217"/>
        <v>2010.0002692800003</v>
      </c>
      <c r="BY132" s="477">
        <f t="shared" si="217"/>
        <v>9728.229669280001</v>
      </c>
      <c r="BZ132" s="477">
        <f t="shared" si="217"/>
        <v>1407.44</v>
      </c>
      <c r="CA132" s="477">
        <f>SUBTOTAL(9,CA128:CA131)</f>
        <v>11135.66966928</v>
      </c>
      <c r="CB132" s="479"/>
    </row>
    <row r="133" spans="1:80" s="450" customFormat="1" ht="15.75" customHeight="1">
      <c r="A133" s="435">
        <v>1</v>
      </c>
      <c r="B133" s="435">
        <v>1</v>
      </c>
      <c r="C133" s="435" t="s">
        <v>3279</v>
      </c>
      <c r="D133" s="436">
        <f>VLOOKUP(C133,ISS!A:B,2,0)</f>
        <v>0.05</v>
      </c>
      <c r="E133" s="437">
        <f>IF(D133=2%,5.99%,IF(D133=2.5%,6.55%,IF(D133=3%,7.12%,IF(D133=3.5%,7.7%,IF(D133=4%,8.28%,IF(D133=5%,9.46%))))))</f>
        <v>9.4600000000000004E-2</v>
      </c>
      <c r="F133" s="438">
        <v>90</v>
      </c>
      <c r="G133" s="439">
        <v>12430</v>
      </c>
      <c r="H133" s="440" t="s">
        <v>4025</v>
      </c>
      <c r="I133" s="435" t="s">
        <v>3848</v>
      </c>
      <c r="J133" s="102" t="s">
        <v>3521</v>
      </c>
      <c r="K133" s="435" t="str">
        <f>CONCATENATE(C133,I133)</f>
        <v>Sete LagoasVIGILANTE ARMADO - 12X36 DIURNO</v>
      </c>
      <c r="L133" s="441" t="s">
        <v>3875</v>
      </c>
      <c r="M133" s="441"/>
      <c r="N133" s="102"/>
      <c r="O133" s="102"/>
      <c r="P133" s="102"/>
      <c r="Q133" s="442">
        <f>VLOOKUP('BANCO DADOS-CUSTO TOTAL'!$K133,PARAMETROS!$E:AX,3,0)</f>
        <v>1602.86</v>
      </c>
      <c r="R133" s="442">
        <f>VLOOKUP('BANCO DADOS-CUSTO TOTAL'!$K133,PARAMETROS!$E:AY,4,0)</f>
        <v>0</v>
      </c>
      <c r="S133" s="442">
        <f>VLOOKUP('BANCO DADOS-CUSTO TOTAL'!$K133,PARAMETROS!$E:AZ,5,0)</f>
        <v>480.85799999999995</v>
      </c>
      <c r="T133" s="442">
        <f>VLOOKUP('BANCO DADOS-CUSTO TOTAL'!$K133,PARAMETROS!$E:BA,6,0)</f>
        <v>0</v>
      </c>
      <c r="U133" s="442">
        <f>VLOOKUP('BANCO DADOS-CUSTO TOTAL'!$K133,PARAMETROS!$E:BB,7,0)</f>
        <v>0</v>
      </c>
      <c r="V133" s="442">
        <f>VLOOKUP('BANCO DADOS-CUSTO TOTAL'!$K133,PARAMETROS!$E:BC,8,0)</f>
        <v>0</v>
      </c>
      <c r="W133" s="442">
        <f>VLOOKUP('BANCO DADOS-CUSTO TOTAL'!$K133,PARAMETROS!$E:BD,9,0)</f>
        <v>146.80740454545455</v>
      </c>
      <c r="X133" s="442">
        <f>VLOOKUP('BANCO DADOS-CUSTO TOTAL'!$K133,PARAMETROS!$E:BE,10,0)</f>
        <v>47.357227272727279</v>
      </c>
      <c r="Y133" s="443">
        <f t="shared" ref="Y133:Y134" si="218">TRUNC(SUM(Q133:X133),2)</f>
        <v>2277.88</v>
      </c>
      <c r="Z133" s="456"/>
      <c r="AA133" s="444">
        <v>30</v>
      </c>
      <c r="AB133" s="445">
        <f>IF(J133="EFETIVO",IF(AND(L133="",M133=""),$M$5,IF(AND(L133&lt;&gt;"",M133&lt;&gt;"",MONTH(L133)=MONTH(M133),YEAR(L133)=YEAR(M133)),M133-L133+1,IF(AND(L133&lt;&gt;"",M133&lt;&gt;"",MONTH(L133)&lt;&gt;MONTH(M133)),DAY(M133),IF(AND(L133="",M133&lt;&gt;"",MONTH($H$5)=MONTH(M133),YEAR(M133)=YEAR($H$5)),M133-$K$5+1,IF(AND(L133&lt;&gt;"",M133="",MONTH($K$5)=MONTH(L133),YEAR($K$5)=YEAR(L133)),30-DAY(L133)+1,$M$5))))),0)</f>
        <v>30</v>
      </c>
      <c r="AC133" s="446">
        <f>(Y133/30)*(AA133-Z133)</f>
        <v>2277.88</v>
      </c>
      <c r="AD133" s="447">
        <f>Y133</f>
        <v>2277.88</v>
      </c>
      <c r="AE133" s="447">
        <f>IF(AND(J133="EFETIVO",N133="FÉRIAS"),AD133,IF(J133="EFETIVO",AC133,0))</f>
        <v>2277.88</v>
      </c>
      <c r="AF133" s="443">
        <f>IF(J133="EFETIVO",VLOOKUP(K133,PARAMETROS!$E:AX,11,0),0)</f>
        <v>112.9</v>
      </c>
      <c r="AG133" s="443">
        <f>VLOOKUP(H133,'VA E VT - APOIO.LIMPEZA'!F:AX,14,0)</f>
        <v>223.06049999999999</v>
      </c>
      <c r="AH133" s="443">
        <f>VLOOKUP($H133,'VA E VT - APOIO.LIMPEZA'!$F:AY,20,0)</f>
        <v>18.528400000000005</v>
      </c>
      <c r="AI133" s="443">
        <f>IF($J133="EFETIVO",VLOOKUP($K133,PARAMETROS!$E:BA,14,0),0)</f>
        <v>91.08</v>
      </c>
      <c r="AJ133" s="443">
        <f>IF($J133="EFETIVO",VLOOKUP($K133,PARAMETROS!$E:BB,15,0),0)</f>
        <v>17.03</v>
      </c>
      <c r="AK133" s="443"/>
      <c r="AL133" s="443"/>
      <c r="AM133" s="443"/>
      <c r="AN133" s="443"/>
      <c r="AO133" s="448">
        <f t="shared" ref="AO133:AO134" si="219">SUM(AF133:AN133)</f>
        <v>462.59890000000007</v>
      </c>
      <c r="AP133" s="443">
        <f>IF($J133="EFETIVO",VLOOKUP($K133,PARAMETROS!$E:BH,20,0),0)</f>
        <v>62.37</v>
      </c>
      <c r="AQ133" s="446"/>
      <c r="AR133" s="443">
        <f>IF($J133="EFETIVO",VLOOKUP($K133,PARAMETROS!$E:BJ,22,0),0)</f>
        <v>58.53</v>
      </c>
      <c r="AS133" s="446"/>
      <c r="AT133" s="448">
        <f t="shared" ref="AT133:AT134" si="220">(AP133+AQ133+AR133+AS133)</f>
        <v>120.9</v>
      </c>
      <c r="AU133" s="448">
        <f>$AU$10*AC133</f>
        <v>838.25984000000005</v>
      </c>
      <c r="AV133" s="448">
        <f t="shared" ref="AV133:BB134" si="221">IF($J133="EFETIVO",$Y133*AV$10,0)</f>
        <v>4.1001840000000005</v>
      </c>
      <c r="AW133" s="448">
        <f t="shared" si="221"/>
        <v>11.3894</v>
      </c>
      <c r="AX133" s="448">
        <f t="shared" si="221"/>
        <v>0.91115200000000007</v>
      </c>
      <c r="AY133" s="448">
        <f t="shared" si="221"/>
        <v>0.45557600000000004</v>
      </c>
      <c r="AZ133" s="448">
        <f t="shared" si="221"/>
        <v>7.9725800000000007</v>
      </c>
      <c r="BA133" s="448">
        <f t="shared" si="221"/>
        <v>2.9339094400000003</v>
      </c>
      <c r="BB133" s="448">
        <f t="shared" si="221"/>
        <v>3.8723960000000002</v>
      </c>
      <c r="BC133" s="448">
        <f t="shared" ref="BC133:BC134" si="222">TRUNC(SUM(AW133:BB133),2)</f>
        <v>27.53</v>
      </c>
      <c r="BD133" s="448">
        <f t="shared" ref="BD133:BH134" si="223">IF($J133="EFETIVO",$Y133*BD$10,0)</f>
        <v>31.662531999999999</v>
      </c>
      <c r="BE133" s="448">
        <f t="shared" si="223"/>
        <v>19.134191999999999</v>
      </c>
      <c r="BF133" s="448">
        <f t="shared" si="223"/>
        <v>7.517004</v>
      </c>
      <c r="BG133" s="448">
        <f t="shared" si="223"/>
        <v>0</v>
      </c>
      <c r="BH133" s="448">
        <f t="shared" si="223"/>
        <v>21.459451904000002</v>
      </c>
      <c r="BI133" s="448">
        <f t="shared" ref="BI133:BI134" si="224">TRUNC(SUM(BD133:BH133),2)</f>
        <v>79.77</v>
      </c>
      <c r="BJ133" s="448">
        <f t="shared" ref="BJ133:BJ134" si="225">TRUNC((BI133+BC133+AV133+AU133),2)</f>
        <v>949.66</v>
      </c>
      <c r="BK133" s="448">
        <f>IF($N133="FÉRIAS",$AD133*$BK$10,IF($AB133&gt;=15,$AD133*$BK$10,0))</f>
        <v>189.74740400000002</v>
      </c>
      <c r="BL133" s="448">
        <f>IF($N133="FÉRIAS",$AD133*$BL$10,IF($AB133&gt;=15,$AD133*$BL$10,0))</f>
        <v>253.07246800000001</v>
      </c>
      <c r="BM133" s="448">
        <f>$BM$10*BK133</f>
        <v>69.827044672</v>
      </c>
      <c r="BN133" s="448">
        <f>$BN$10*BL133</f>
        <v>93.130668224000004</v>
      </c>
      <c r="BO133" s="448">
        <f>$BO$10*AE133</f>
        <v>97.94883999999999</v>
      </c>
      <c r="BP133" s="448"/>
      <c r="BQ133" s="448">
        <f t="shared" ref="BQ133:BQ134" si="226">TRUNC(SUM(BK133:BP133),2)</f>
        <v>703.72</v>
      </c>
      <c r="BR133" s="448">
        <f t="shared" ref="BR133:BR134" si="227">TRUNC((BJ133+BQ133),2)</f>
        <v>1653.38</v>
      </c>
      <c r="BS133" s="448">
        <f>IF($J133="EFETIVO",BS$10,0)</f>
        <v>288.66000000000003</v>
      </c>
      <c r="BT133" s="448">
        <f>IF($J133="EFETIVO",BT$10,0)</f>
        <v>346.26</v>
      </c>
      <c r="BU133" s="448">
        <f>((AC133+AO133+AT133+BJ133+BS133+BT133)*E133)</f>
        <v>420.58771194000008</v>
      </c>
      <c r="BV133" s="448">
        <f>BQ133*E133</f>
        <v>66.571912000000012</v>
      </c>
      <c r="BW133" s="448">
        <f>SUM(BU133:BV133)</f>
        <v>487.15962394000007</v>
      </c>
      <c r="BX133" s="448">
        <f>BS133+BT133+BW133</f>
        <v>1122.0796239400001</v>
      </c>
      <c r="BY133" s="448">
        <f t="shared" ref="BY133:BY134" si="228">(AC133+AO133+AT133+BJ133+BX133)</f>
        <v>4933.1185239400002</v>
      </c>
      <c r="BZ133" s="448">
        <f>BQ133</f>
        <v>703.72</v>
      </c>
      <c r="CA133" s="448">
        <f>BY133+BZ133</f>
        <v>5636.8385239400004</v>
      </c>
      <c r="CB133" s="449"/>
    </row>
    <row r="134" spans="1:80" s="450" customFormat="1" ht="15.75" customHeight="1">
      <c r="A134" s="435">
        <v>1</v>
      </c>
      <c r="B134" s="435">
        <v>1</v>
      </c>
      <c r="C134" s="435" t="s">
        <v>3279</v>
      </c>
      <c r="D134" s="436">
        <f>VLOOKUP(C134,ISS!A:B,2,0)</f>
        <v>0.05</v>
      </c>
      <c r="E134" s="437">
        <f>IF(D134=2%,5.99%,IF(D134=2.5%,6.55%,IF(D134=3%,7.12%,IF(D134=3.5%,7.7%,IF(D134=4%,8.28%,IF(D134=5%,9.46%))))))</f>
        <v>9.4600000000000004E-2</v>
      </c>
      <c r="F134" s="438">
        <v>91</v>
      </c>
      <c r="G134" s="439">
        <v>12431</v>
      </c>
      <c r="H134" s="440" t="s">
        <v>4026</v>
      </c>
      <c r="I134" s="435" t="s">
        <v>3848</v>
      </c>
      <c r="J134" s="102" t="s">
        <v>3521</v>
      </c>
      <c r="K134" s="435" t="str">
        <f>CONCATENATE(C134,I134)</f>
        <v>Sete LagoasVIGILANTE ARMADO - 12X36 DIURNO</v>
      </c>
      <c r="L134" s="441" t="s">
        <v>3875</v>
      </c>
      <c r="M134" s="441"/>
      <c r="N134" s="102"/>
      <c r="O134" s="102"/>
      <c r="P134" s="102"/>
      <c r="Q134" s="442">
        <f>VLOOKUP('BANCO DADOS-CUSTO TOTAL'!$K134,PARAMETROS!$E:AX,3,0)</f>
        <v>1602.86</v>
      </c>
      <c r="R134" s="442">
        <f>VLOOKUP('BANCO DADOS-CUSTO TOTAL'!$K134,PARAMETROS!$E:AY,4,0)</f>
        <v>0</v>
      </c>
      <c r="S134" s="442">
        <f>VLOOKUP('BANCO DADOS-CUSTO TOTAL'!$K134,PARAMETROS!$E:AZ,5,0)</f>
        <v>480.85799999999995</v>
      </c>
      <c r="T134" s="442">
        <f>VLOOKUP('BANCO DADOS-CUSTO TOTAL'!$K134,PARAMETROS!$E:BA,6,0)</f>
        <v>0</v>
      </c>
      <c r="U134" s="442">
        <f>VLOOKUP('BANCO DADOS-CUSTO TOTAL'!$K134,PARAMETROS!$E:BB,7,0)</f>
        <v>0</v>
      </c>
      <c r="V134" s="442">
        <f>VLOOKUP('BANCO DADOS-CUSTO TOTAL'!$K134,PARAMETROS!$E:BC,8,0)</f>
        <v>0</v>
      </c>
      <c r="W134" s="442">
        <f>VLOOKUP('BANCO DADOS-CUSTO TOTAL'!$K134,PARAMETROS!$E:BD,9,0)</f>
        <v>146.80740454545455</v>
      </c>
      <c r="X134" s="442">
        <f>VLOOKUP('BANCO DADOS-CUSTO TOTAL'!$K134,PARAMETROS!$E:BE,10,0)</f>
        <v>47.357227272727279</v>
      </c>
      <c r="Y134" s="443">
        <f t="shared" si="218"/>
        <v>2277.88</v>
      </c>
      <c r="Z134" s="456"/>
      <c r="AA134" s="444">
        <v>30</v>
      </c>
      <c r="AB134" s="445">
        <f>IF(J134="EFETIVO",IF(AND(L134="",M134=""),$M$5,IF(AND(L134&lt;&gt;"",M134&lt;&gt;"",MONTH(L134)=MONTH(M134),YEAR(L134)=YEAR(M134)),M134-L134+1,IF(AND(L134&lt;&gt;"",M134&lt;&gt;"",MONTH(L134)&lt;&gt;MONTH(M134)),DAY(M134),IF(AND(L134="",M134&lt;&gt;"",MONTH($H$5)=MONTH(M134),YEAR(M134)=YEAR($H$5)),M134-$K$5+1,IF(AND(L134&lt;&gt;"",M134="",MONTH($K$5)=MONTH(L134),YEAR($K$5)=YEAR(L134)),30-DAY(L134)+1,$M$5))))),0)</f>
        <v>30</v>
      </c>
      <c r="AC134" s="446">
        <f>(Y134/30)*(AA134-Z134)</f>
        <v>2277.88</v>
      </c>
      <c r="AD134" s="447">
        <f>Y134</f>
        <v>2277.88</v>
      </c>
      <c r="AE134" s="447">
        <f>IF(AND(J134="EFETIVO",N134="FÉRIAS"),AD134,IF(J134="EFETIVO",AC134,0))</f>
        <v>2277.88</v>
      </c>
      <c r="AF134" s="443">
        <f>IF(J134="EFETIVO",VLOOKUP(K134,PARAMETROS!$E:AX,11,0),0)</f>
        <v>112.9</v>
      </c>
      <c r="AG134" s="443">
        <f>VLOOKUP(H134,'VA E VT - APOIO.LIMPEZA'!F:AX,14,0)</f>
        <v>223.06049999999999</v>
      </c>
      <c r="AH134" s="443">
        <f>VLOOKUP($H134,'VA E VT - APOIO.LIMPEZA'!$F:AY,20,0)</f>
        <v>18.528400000000005</v>
      </c>
      <c r="AI134" s="443">
        <f>IF($J134="EFETIVO",VLOOKUP($K134,PARAMETROS!$E:BA,14,0),0)</f>
        <v>91.08</v>
      </c>
      <c r="AJ134" s="443">
        <f>IF($J134="EFETIVO",VLOOKUP($K134,PARAMETROS!$E:BB,15,0),0)</f>
        <v>17.03</v>
      </c>
      <c r="AK134" s="443"/>
      <c r="AL134" s="443"/>
      <c r="AM134" s="443"/>
      <c r="AN134" s="443"/>
      <c r="AO134" s="448">
        <f t="shared" si="219"/>
        <v>462.59890000000007</v>
      </c>
      <c r="AP134" s="443">
        <f>IF($J134="EFETIVO",VLOOKUP($K134,PARAMETROS!$E:BH,20,0),0)</f>
        <v>62.37</v>
      </c>
      <c r="AQ134" s="446"/>
      <c r="AR134" s="443">
        <f>IF($J134="EFETIVO",VLOOKUP($K134,PARAMETROS!$E:BJ,22,0),0)</f>
        <v>58.53</v>
      </c>
      <c r="AS134" s="446"/>
      <c r="AT134" s="448">
        <f t="shared" si="220"/>
        <v>120.9</v>
      </c>
      <c r="AU134" s="448">
        <f>$AU$10*AC134</f>
        <v>838.25984000000005</v>
      </c>
      <c r="AV134" s="448">
        <f t="shared" si="221"/>
        <v>4.1001840000000005</v>
      </c>
      <c r="AW134" s="448">
        <f t="shared" si="221"/>
        <v>11.3894</v>
      </c>
      <c r="AX134" s="448">
        <f t="shared" si="221"/>
        <v>0.91115200000000007</v>
      </c>
      <c r="AY134" s="448">
        <f t="shared" si="221"/>
        <v>0.45557600000000004</v>
      </c>
      <c r="AZ134" s="448">
        <f t="shared" si="221"/>
        <v>7.9725800000000007</v>
      </c>
      <c r="BA134" s="448">
        <f t="shared" si="221"/>
        <v>2.9339094400000003</v>
      </c>
      <c r="BB134" s="448">
        <f t="shared" si="221"/>
        <v>3.8723960000000002</v>
      </c>
      <c r="BC134" s="448">
        <f t="shared" si="222"/>
        <v>27.53</v>
      </c>
      <c r="BD134" s="448">
        <f t="shared" si="223"/>
        <v>31.662531999999999</v>
      </c>
      <c r="BE134" s="448">
        <f t="shared" si="223"/>
        <v>19.134191999999999</v>
      </c>
      <c r="BF134" s="448">
        <f t="shared" si="223"/>
        <v>7.517004</v>
      </c>
      <c r="BG134" s="448">
        <f t="shared" si="223"/>
        <v>0</v>
      </c>
      <c r="BH134" s="448">
        <f t="shared" si="223"/>
        <v>21.459451904000002</v>
      </c>
      <c r="BI134" s="448">
        <f t="shared" si="224"/>
        <v>79.77</v>
      </c>
      <c r="BJ134" s="448">
        <f t="shared" si="225"/>
        <v>949.66</v>
      </c>
      <c r="BK134" s="448">
        <f>IF($N134="FÉRIAS",$AD134*$BK$10,IF($AB134&gt;=15,$AD134*$BK$10,0))</f>
        <v>189.74740400000002</v>
      </c>
      <c r="BL134" s="448">
        <f>IF($N134="FÉRIAS",$AD134*$BL$10,IF($AB134&gt;=15,$AD134*$BL$10,0))</f>
        <v>253.07246800000001</v>
      </c>
      <c r="BM134" s="448">
        <f>$BM$10*BK134</f>
        <v>69.827044672</v>
      </c>
      <c r="BN134" s="448">
        <f>$BN$10*BL134</f>
        <v>93.130668224000004</v>
      </c>
      <c r="BO134" s="448">
        <f>$BO$10*AE134</f>
        <v>97.94883999999999</v>
      </c>
      <c r="BP134" s="448"/>
      <c r="BQ134" s="448">
        <f t="shared" si="226"/>
        <v>703.72</v>
      </c>
      <c r="BR134" s="448">
        <f t="shared" si="227"/>
        <v>1653.38</v>
      </c>
      <c r="BS134" s="448">
        <f>IF($J134="EFETIVO",BS$10,0)</f>
        <v>288.66000000000003</v>
      </c>
      <c r="BT134" s="448">
        <f>IF($J134="EFETIVO",BT$10,0)</f>
        <v>346.26</v>
      </c>
      <c r="BU134" s="448">
        <f>((AC134+AO134+AT134+BJ134+BS134+BT134)*E134)</f>
        <v>420.58771194000008</v>
      </c>
      <c r="BV134" s="448">
        <f>BQ134*E134</f>
        <v>66.571912000000012</v>
      </c>
      <c r="BW134" s="448">
        <f>SUM(BU134:BV134)</f>
        <v>487.15962394000007</v>
      </c>
      <c r="BX134" s="448">
        <f>BS134+BT134+BW134</f>
        <v>1122.0796239400001</v>
      </c>
      <c r="BY134" s="448">
        <f t="shared" si="228"/>
        <v>4933.1185239400002</v>
      </c>
      <c r="BZ134" s="448">
        <f>BQ134</f>
        <v>703.72</v>
      </c>
      <c r="CA134" s="448">
        <f>BY134+BZ134</f>
        <v>5636.8385239400004</v>
      </c>
      <c r="CB134" s="449"/>
    </row>
    <row r="135" spans="1:80" s="480" customFormat="1" ht="15.75" customHeight="1">
      <c r="A135" s="462"/>
      <c r="B135" s="462"/>
      <c r="C135" s="462" t="s">
        <v>3908</v>
      </c>
      <c r="D135" s="463"/>
      <c r="E135" s="464"/>
      <c r="F135" s="465"/>
      <c r="G135" s="466"/>
      <c r="H135" s="467"/>
      <c r="I135" s="462"/>
      <c r="J135" s="468"/>
      <c r="K135" s="462"/>
      <c r="L135" s="469"/>
      <c r="M135" s="469"/>
      <c r="N135" s="468"/>
      <c r="O135" s="468"/>
      <c r="P135" s="468"/>
      <c r="Q135" s="470"/>
      <c r="R135" s="470"/>
      <c r="S135" s="470"/>
      <c r="T135" s="470"/>
      <c r="U135" s="470"/>
      <c r="V135" s="470"/>
      <c r="W135" s="470"/>
      <c r="X135" s="470"/>
      <c r="Y135" s="471"/>
      <c r="Z135" s="472"/>
      <c r="AA135" s="473"/>
      <c r="AB135" s="474"/>
      <c r="AC135" s="475"/>
      <c r="AD135" s="476"/>
      <c r="AE135" s="476"/>
      <c r="AF135" s="471">
        <f>SUBTOTAL(9,AF133:AF134)</f>
        <v>225.8</v>
      </c>
      <c r="AG135" s="471">
        <f t="shared" ref="AG135:CA135" si="229">SUBTOTAL(9,AG133:AG134)</f>
        <v>446.12099999999998</v>
      </c>
      <c r="AH135" s="471">
        <f t="shared" si="229"/>
        <v>37.05680000000001</v>
      </c>
      <c r="AI135" s="471">
        <f t="shared" si="229"/>
        <v>182.16</v>
      </c>
      <c r="AJ135" s="471">
        <f t="shared" si="229"/>
        <v>34.06</v>
      </c>
      <c r="AK135" s="471">
        <f t="shared" si="229"/>
        <v>0</v>
      </c>
      <c r="AL135" s="471">
        <f t="shared" si="229"/>
        <v>0</v>
      </c>
      <c r="AM135" s="471">
        <f t="shared" si="229"/>
        <v>0</v>
      </c>
      <c r="AN135" s="471">
        <f t="shared" si="229"/>
        <v>0</v>
      </c>
      <c r="AO135" s="471">
        <f t="shared" si="229"/>
        <v>925.19780000000014</v>
      </c>
      <c r="AP135" s="471">
        <f t="shared" si="229"/>
        <v>124.74</v>
      </c>
      <c r="AQ135" s="471">
        <f t="shared" si="229"/>
        <v>0</v>
      </c>
      <c r="AR135" s="471">
        <f t="shared" si="229"/>
        <v>117.06</v>
      </c>
      <c r="AS135" s="471">
        <f t="shared" si="229"/>
        <v>0</v>
      </c>
      <c r="AT135" s="471">
        <f t="shared" si="229"/>
        <v>241.8</v>
      </c>
      <c r="AU135" s="471">
        <f t="shared" si="229"/>
        <v>1676.5196800000001</v>
      </c>
      <c r="AV135" s="471">
        <f t="shared" si="229"/>
        <v>8.200368000000001</v>
      </c>
      <c r="AW135" s="471">
        <f t="shared" si="229"/>
        <v>22.7788</v>
      </c>
      <c r="AX135" s="471">
        <f t="shared" si="229"/>
        <v>1.8223040000000001</v>
      </c>
      <c r="AY135" s="471">
        <f t="shared" si="229"/>
        <v>0.91115200000000007</v>
      </c>
      <c r="AZ135" s="471">
        <f t="shared" si="229"/>
        <v>15.945160000000001</v>
      </c>
      <c r="BA135" s="471">
        <f t="shared" si="229"/>
        <v>5.8678188800000006</v>
      </c>
      <c r="BB135" s="471">
        <f t="shared" si="229"/>
        <v>7.7447920000000003</v>
      </c>
      <c r="BC135" s="471">
        <f t="shared" si="229"/>
        <v>55.06</v>
      </c>
      <c r="BD135" s="471">
        <f t="shared" si="229"/>
        <v>63.325063999999998</v>
      </c>
      <c r="BE135" s="471">
        <f t="shared" si="229"/>
        <v>38.268383999999998</v>
      </c>
      <c r="BF135" s="471">
        <f t="shared" si="229"/>
        <v>15.034008</v>
      </c>
      <c r="BG135" s="471">
        <f t="shared" si="229"/>
        <v>0</v>
      </c>
      <c r="BH135" s="471">
        <f t="shared" si="229"/>
        <v>42.918903808000003</v>
      </c>
      <c r="BI135" s="471">
        <f t="shared" si="229"/>
        <v>159.54</v>
      </c>
      <c r="BJ135" s="471">
        <f t="shared" si="229"/>
        <v>1899.32</v>
      </c>
      <c r="BK135" s="471">
        <f t="shared" si="229"/>
        <v>379.49480800000003</v>
      </c>
      <c r="BL135" s="471">
        <f t="shared" si="229"/>
        <v>506.14493600000003</v>
      </c>
      <c r="BM135" s="471">
        <f t="shared" si="229"/>
        <v>139.654089344</v>
      </c>
      <c r="BN135" s="471">
        <f t="shared" si="229"/>
        <v>186.26133644800001</v>
      </c>
      <c r="BO135" s="471">
        <f t="shared" si="229"/>
        <v>195.89767999999998</v>
      </c>
      <c r="BP135" s="471">
        <f t="shared" si="229"/>
        <v>0</v>
      </c>
      <c r="BQ135" s="471">
        <f t="shared" si="229"/>
        <v>1407.44</v>
      </c>
      <c r="BR135" s="471">
        <f t="shared" si="229"/>
        <v>3306.76</v>
      </c>
      <c r="BS135" s="471">
        <f t="shared" si="229"/>
        <v>577.32000000000005</v>
      </c>
      <c r="BT135" s="471">
        <f t="shared" si="229"/>
        <v>692.52</v>
      </c>
      <c r="BU135" s="471">
        <f t="shared" si="229"/>
        <v>841.17542388000015</v>
      </c>
      <c r="BV135" s="471">
        <f t="shared" si="229"/>
        <v>133.14382400000002</v>
      </c>
      <c r="BW135" s="471">
        <f t="shared" si="229"/>
        <v>974.31924788000015</v>
      </c>
      <c r="BX135" s="471">
        <f t="shared" si="229"/>
        <v>2244.1592478800003</v>
      </c>
      <c r="BY135" s="471">
        <f t="shared" si="229"/>
        <v>9866.2370478800003</v>
      </c>
      <c r="BZ135" s="471">
        <f t="shared" si="229"/>
        <v>1407.44</v>
      </c>
      <c r="CA135" s="471">
        <f t="shared" si="229"/>
        <v>11273.677047880001</v>
      </c>
      <c r="CB135" s="479"/>
    </row>
    <row r="136" spans="1:80" s="450" customFormat="1" ht="15.75" customHeight="1">
      <c r="A136" s="435">
        <v>1</v>
      </c>
      <c r="B136" s="435">
        <v>1</v>
      </c>
      <c r="C136" s="435" t="s">
        <v>3283</v>
      </c>
      <c r="D136" s="436">
        <f>VLOOKUP(C136,ISS!A:B,2,0)</f>
        <v>0.05</v>
      </c>
      <c r="E136" s="437">
        <f>IF(D136=2%,5.99%,IF(D136=2.5%,6.55%,IF(D136=3%,7.12%,IF(D136=3.5%,7.7%,IF(D136=4%,8.28%,IF(D136=5%,9.46%))))))</f>
        <v>9.4600000000000004E-2</v>
      </c>
      <c r="F136" s="438">
        <v>92</v>
      </c>
      <c r="G136" s="439">
        <v>12432</v>
      </c>
      <c r="H136" s="440" t="s">
        <v>4027</v>
      </c>
      <c r="I136" s="435" t="s">
        <v>3848</v>
      </c>
      <c r="J136" s="102" t="s">
        <v>3521</v>
      </c>
      <c r="K136" s="435" t="str">
        <f>CONCATENATE(C136,I136)</f>
        <v>UberabaVIGILANTE ARMADO - 12X36 DIURNO</v>
      </c>
      <c r="L136" s="441" t="s">
        <v>3875</v>
      </c>
      <c r="M136" s="441"/>
      <c r="N136" s="102"/>
      <c r="O136" s="102"/>
      <c r="P136" s="102"/>
      <c r="Q136" s="442">
        <f>VLOOKUP('BANCO DADOS-CUSTO TOTAL'!$K136,PARAMETROS!$E:AX,3,0)</f>
        <v>1602.86</v>
      </c>
      <c r="R136" s="442">
        <f>VLOOKUP('BANCO DADOS-CUSTO TOTAL'!$K136,PARAMETROS!$E:AY,4,0)</f>
        <v>0</v>
      </c>
      <c r="S136" s="442">
        <f>VLOOKUP('BANCO DADOS-CUSTO TOTAL'!$K136,PARAMETROS!$E:AZ,5,0)</f>
        <v>480.85799999999995</v>
      </c>
      <c r="T136" s="442">
        <f>VLOOKUP('BANCO DADOS-CUSTO TOTAL'!$K136,PARAMETROS!$E:BA,6,0)</f>
        <v>0</v>
      </c>
      <c r="U136" s="442">
        <f>VLOOKUP('BANCO DADOS-CUSTO TOTAL'!$K136,PARAMETROS!$E:BB,7,0)</f>
        <v>0</v>
      </c>
      <c r="V136" s="442">
        <f>VLOOKUP('BANCO DADOS-CUSTO TOTAL'!$K136,PARAMETROS!$E:BC,8,0)</f>
        <v>0</v>
      </c>
      <c r="W136" s="442">
        <f>VLOOKUP('BANCO DADOS-CUSTO TOTAL'!$K136,PARAMETROS!$E:BD,9,0)</f>
        <v>146.80740454545455</v>
      </c>
      <c r="X136" s="442">
        <f>VLOOKUP('BANCO DADOS-CUSTO TOTAL'!$K136,PARAMETROS!$E:BE,10,0)</f>
        <v>47.357227272727279</v>
      </c>
      <c r="Y136" s="443">
        <f t="shared" ref="Y136:Y139" si="230">TRUNC(SUM(Q136:X136),2)</f>
        <v>2277.88</v>
      </c>
      <c r="Z136" s="456"/>
      <c r="AA136" s="444">
        <v>30</v>
      </c>
      <c r="AB136" s="445">
        <f>IF(J136="EFETIVO",IF(AND(L136="",M136=""),$M$5,IF(AND(L136&lt;&gt;"",M136&lt;&gt;"",MONTH(L136)=MONTH(M136),YEAR(L136)=YEAR(M136)),M136-L136+1,IF(AND(L136&lt;&gt;"",M136&lt;&gt;"",MONTH(L136)&lt;&gt;MONTH(M136)),DAY(M136),IF(AND(L136="",M136&lt;&gt;"",MONTH($H$5)=MONTH(M136),YEAR(M136)=YEAR($H$5)),M136-$K$5+1,IF(AND(L136&lt;&gt;"",M136="",MONTH($K$5)=MONTH(L136),YEAR($K$5)=YEAR(L136)),30-DAY(L136)+1,$M$5))))),0)</f>
        <v>30</v>
      </c>
      <c r="AC136" s="446">
        <f>(Y136/30)*(AA136-Z136)</f>
        <v>2277.88</v>
      </c>
      <c r="AD136" s="447">
        <f>Y136</f>
        <v>2277.88</v>
      </c>
      <c r="AE136" s="447">
        <f>IF(AND(J136="EFETIVO",N136="FÉRIAS"),AD136,IF(J136="EFETIVO",AC136,0))</f>
        <v>2277.88</v>
      </c>
      <c r="AF136" s="443">
        <f>IF(J136="EFETIVO",VLOOKUP(K136,PARAMETROS!$E:AX,11,0),0)</f>
        <v>112.9</v>
      </c>
      <c r="AG136" s="443">
        <f>VLOOKUP(H136,'VA E VT - APOIO.LIMPEZA'!F:AX,14,0)</f>
        <v>223.06049999999999</v>
      </c>
      <c r="AH136" s="443">
        <f>VLOOKUP($H136,'VA E VT - APOIO.LIMPEZA'!$F:AY,20,0)</f>
        <v>18.528400000000005</v>
      </c>
      <c r="AI136" s="443">
        <f>IF($J136="EFETIVO",VLOOKUP($K136,PARAMETROS!$E:BA,14,0),0)</f>
        <v>91.08</v>
      </c>
      <c r="AJ136" s="443">
        <f>IF($J136="EFETIVO",VLOOKUP($K136,PARAMETROS!$E:BB,15,0),0)</f>
        <v>17.03</v>
      </c>
      <c r="AK136" s="443"/>
      <c r="AL136" s="443"/>
      <c r="AM136" s="443"/>
      <c r="AN136" s="443"/>
      <c r="AO136" s="448">
        <f t="shared" ref="AO136:AO139" si="231">SUM(AF136:AN136)</f>
        <v>462.59890000000007</v>
      </c>
      <c r="AP136" s="443">
        <f>IF($J136="EFETIVO",VLOOKUP($K136,PARAMETROS!$E:BH,20,0),0)</f>
        <v>62.37</v>
      </c>
      <c r="AQ136" s="446"/>
      <c r="AR136" s="443">
        <f>IF($J136="EFETIVO",VLOOKUP($K136,PARAMETROS!$E:BJ,22,0),0)</f>
        <v>58.53</v>
      </c>
      <c r="AS136" s="446"/>
      <c r="AT136" s="448">
        <f t="shared" ref="AT136:AT139" si="232">(AP136+AQ136+AR136+AS136)</f>
        <v>120.9</v>
      </c>
      <c r="AU136" s="448">
        <f>$AU$10*AC136</f>
        <v>838.25984000000005</v>
      </c>
      <c r="AV136" s="448">
        <f t="shared" ref="AV136:BB139" si="233">IF($J136="EFETIVO",$Y136*AV$10,0)</f>
        <v>4.1001840000000005</v>
      </c>
      <c r="AW136" s="448">
        <f t="shared" si="233"/>
        <v>11.3894</v>
      </c>
      <c r="AX136" s="448">
        <f t="shared" si="233"/>
        <v>0.91115200000000007</v>
      </c>
      <c r="AY136" s="448">
        <f t="shared" si="233"/>
        <v>0.45557600000000004</v>
      </c>
      <c r="AZ136" s="448">
        <f t="shared" si="233"/>
        <v>7.9725800000000007</v>
      </c>
      <c r="BA136" s="448">
        <f t="shared" si="233"/>
        <v>2.9339094400000003</v>
      </c>
      <c r="BB136" s="448">
        <f t="shared" si="233"/>
        <v>3.8723960000000002</v>
      </c>
      <c r="BC136" s="448">
        <f t="shared" ref="BC136:BC139" si="234">TRUNC(SUM(AW136:BB136),2)</f>
        <v>27.53</v>
      </c>
      <c r="BD136" s="448">
        <f t="shared" ref="BD136:BH139" si="235">IF($J136="EFETIVO",$Y136*BD$10,0)</f>
        <v>31.662531999999999</v>
      </c>
      <c r="BE136" s="448">
        <f t="shared" si="235"/>
        <v>19.134191999999999</v>
      </c>
      <c r="BF136" s="448">
        <f t="shared" si="235"/>
        <v>7.517004</v>
      </c>
      <c r="BG136" s="448">
        <f t="shared" si="235"/>
        <v>0</v>
      </c>
      <c r="BH136" s="448">
        <f t="shared" si="235"/>
        <v>21.459451904000002</v>
      </c>
      <c r="BI136" s="448">
        <f t="shared" ref="BI136:BI139" si="236">TRUNC(SUM(BD136:BH136),2)</f>
        <v>79.77</v>
      </c>
      <c r="BJ136" s="448">
        <f t="shared" ref="BJ136:BJ139" si="237">TRUNC((BI136+BC136+AV136+AU136),2)</f>
        <v>949.66</v>
      </c>
      <c r="BK136" s="448">
        <f>IF($N136="FÉRIAS",$AD136*$BK$10,IF($AB136&gt;=15,$AD136*$BK$10,0))</f>
        <v>189.74740400000002</v>
      </c>
      <c r="BL136" s="448">
        <f>IF($N136="FÉRIAS",$AD136*$BL$10,IF($AB136&gt;=15,$AD136*$BL$10,0))</f>
        <v>253.07246800000001</v>
      </c>
      <c r="BM136" s="448">
        <f>$BM$10*BK136</f>
        <v>69.827044672</v>
      </c>
      <c r="BN136" s="448">
        <f>$BN$10*BL136</f>
        <v>93.130668224000004</v>
      </c>
      <c r="BO136" s="448">
        <f>$BO$10*AE136</f>
        <v>97.94883999999999</v>
      </c>
      <c r="BP136" s="448"/>
      <c r="BQ136" s="448">
        <f t="shared" ref="BQ136:BQ139" si="238">TRUNC(SUM(BK136:BP136),2)</f>
        <v>703.72</v>
      </c>
      <c r="BR136" s="448">
        <f t="shared" ref="BR136:BR139" si="239">TRUNC((BJ136+BQ136),2)</f>
        <v>1653.38</v>
      </c>
      <c r="BS136" s="448">
        <f t="shared" ref="BS136:BT139" si="240">IF($J136="EFETIVO",BS$10,0)</f>
        <v>288.66000000000003</v>
      </c>
      <c r="BT136" s="448">
        <f t="shared" si="240"/>
        <v>346.26</v>
      </c>
      <c r="BU136" s="448">
        <f>((AC136+AO136+AT136+BJ136+BS136+BT136)*E136)</f>
        <v>420.58771194000008</v>
      </c>
      <c r="BV136" s="448">
        <f>BQ136*E136</f>
        <v>66.571912000000012</v>
      </c>
      <c r="BW136" s="448">
        <f>SUM(BU136:BV136)</f>
        <v>487.15962394000007</v>
      </c>
      <c r="BX136" s="448">
        <f>BS136+BT136+BW136</f>
        <v>1122.0796239400001</v>
      </c>
      <c r="BY136" s="448">
        <f t="shared" ref="BY136:BY139" si="241">(AC136+AO136+AT136+BJ136+BX136)</f>
        <v>4933.1185239400002</v>
      </c>
      <c r="BZ136" s="448">
        <f>BQ136</f>
        <v>703.72</v>
      </c>
      <c r="CA136" s="448">
        <f>BY136+BZ136</f>
        <v>5636.8385239400004</v>
      </c>
      <c r="CB136" s="449"/>
    </row>
    <row r="137" spans="1:80" s="450" customFormat="1" ht="15.75" customHeight="1">
      <c r="A137" s="435">
        <v>1</v>
      </c>
      <c r="B137" s="435">
        <v>1</v>
      </c>
      <c r="C137" s="435" t="s">
        <v>3283</v>
      </c>
      <c r="D137" s="436">
        <f>VLOOKUP(C137,ISS!A:B,2,0)</f>
        <v>0.05</v>
      </c>
      <c r="E137" s="437">
        <f>IF(D137=2%,5.99%,IF(D137=2.5%,6.55%,IF(D137=3%,7.12%,IF(D137=3.5%,7.7%,IF(D137=4%,8.28%,IF(D137=5%,9.46%))))))</f>
        <v>9.4600000000000004E-2</v>
      </c>
      <c r="F137" s="438">
        <v>93</v>
      </c>
      <c r="G137" s="439">
        <v>12433</v>
      </c>
      <c r="H137" s="440" t="s">
        <v>4028</v>
      </c>
      <c r="I137" s="435" t="s">
        <v>3848</v>
      </c>
      <c r="J137" s="102" t="s">
        <v>3521</v>
      </c>
      <c r="K137" s="435" t="str">
        <f>CONCATENATE(C137,I137)</f>
        <v>UberabaVIGILANTE ARMADO - 12X36 DIURNO</v>
      </c>
      <c r="L137" s="441" t="s">
        <v>3875</v>
      </c>
      <c r="M137" s="441"/>
      <c r="N137" s="102"/>
      <c r="O137" s="102"/>
      <c r="P137" s="102"/>
      <c r="Q137" s="442">
        <f>VLOOKUP('BANCO DADOS-CUSTO TOTAL'!$K137,PARAMETROS!$E:AX,3,0)</f>
        <v>1602.86</v>
      </c>
      <c r="R137" s="442">
        <f>VLOOKUP('BANCO DADOS-CUSTO TOTAL'!$K137,PARAMETROS!$E:AY,4,0)</f>
        <v>0</v>
      </c>
      <c r="S137" s="442">
        <f>VLOOKUP('BANCO DADOS-CUSTO TOTAL'!$K137,PARAMETROS!$E:AZ,5,0)</f>
        <v>480.85799999999995</v>
      </c>
      <c r="T137" s="442">
        <f>VLOOKUP('BANCO DADOS-CUSTO TOTAL'!$K137,PARAMETROS!$E:BA,6,0)</f>
        <v>0</v>
      </c>
      <c r="U137" s="442">
        <f>VLOOKUP('BANCO DADOS-CUSTO TOTAL'!$K137,PARAMETROS!$E:BB,7,0)</f>
        <v>0</v>
      </c>
      <c r="V137" s="442">
        <f>VLOOKUP('BANCO DADOS-CUSTO TOTAL'!$K137,PARAMETROS!$E:BC,8,0)</f>
        <v>0</v>
      </c>
      <c r="W137" s="442">
        <f>VLOOKUP('BANCO DADOS-CUSTO TOTAL'!$K137,PARAMETROS!$E:BD,9,0)</f>
        <v>146.80740454545455</v>
      </c>
      <c r="X137" s="442">
        <f>VLOOKUP('BANCO DADOS-CUSTO TOTAL'!$K137,PARAMETROS!$E:BE,10,0)</f>
        <v>47.357227272727279</v>
      </c>
      <c r="Y137" s="443">
        <f t="shared" si="230"/>
        <v>2277.88</v>
      </c>
      <c r="Z137" s="456"/>
      <c r="AA137" s="444">
        <v>30</v>
      </c>
      <c r="AB137" s="445">
        <f>IF(J137="EFETIVO",IF(AND(L137="",M137=""),$M$5,IF(AND(L137&lt;&gt;"",M137&lt;&gt;"",MONTH(L137)=MONTH(M137),YEAR(L137)=YEAR(M137)),M137-L137+1,IF(AND(L137&lt;&gt;"",M137&lt;&gt;"",MONTH(L137)&lt;&gt;MONTH(M137)),DAY(M137),IF(AND(L137="",M137&lt;&gt;"",MONTH($H$5)=MONTH(M137),YEAR(M137)=YEAR($H$5)),M137-$K$5+1,IF(AND(L137&lt;&gt;"",M137="",MONTH($K$5)=MONTH(L137),YEAR($K$5)=YEAR(L137)),30-DAY(L137)+1,$M$5))))),0)</f>
        <v>30</v>
      </c>
      <c r="AC137" s="446">
        <f>(Y137/30)*(AA137-Z137)</f>
        <v>2277.88</v>
      </c>
      <c r="AD137" s="447">
        <f>Y137</f>
        <v>2277.88</v>
      </c>
      <c r="AE137" s="447">
        <f>IF(AND(J137="EFETIVO",N137="FÉRIAS"),AD137,IF(J137="EFETIVO",AC137,0))</f>
        <v>2277.88</v>
      </c>
      <c r="AF137" s="443">
        <f>IF(J137="EFETIVO",VLOOKUP(K137,PARAMETROS!$E:AX,11,0),0)</f>
        <v>112.9</v>
      </c>
      <c r="AG137" s="443">
        <f>VLOOKUP(H137,'VA E VT - APOIO.LIMPEZA'!F:AX,14,0)</f>
        <v>223.06049999999999</v>
      </c>
      <c r="AH137" s="443">
        <f>VLOOKUP($H137,'VA E VT - APOIO.LIMPEZA'!$F:AY,20,0)</f>
        <v>18.528400000000005</v>
      </c>
      <c r="AI137" s="443">
        <f>IF($J137="EFETIVO",VLOOKUP($K137,PARAMETROS!$E:BA,14,0),0)</f>
        <v>91.08</v>
      </c>
      <c r="AJ137" s="443">
        <f>IF($J137="EFETIVO",VLOOKUP($K137,PARAMETROS!$E:BB,15,0),0)</f>
        <v>17.03</v>
      </c>
      <c r="AK137" s="443"/>
      <c r="AL137" s="443"/>
      <c r="AM137" s="443"/>
      <c r="AN137" s="443"/>
      <c r="AO137" s="448">
        <f t="shared" si="231"/>
        <v>462.59890000000007</v>
      </c>
      <c r="AP137" s="443">
        <f>IF($J137="EFETIVO",VLOOKUP($K137,PARAMETROS!$E:BH,20,0),0)</f>
        <v>62.37</v>
      </c>
      <c r="AQ137" s="446"/>
      <c r="AR137" s="443">
        <f>IF($J137="EFETIVO",VLOOKUP($K137,PARAMETROS!$E:BJ,22,0),0)</f>
        <v>58.53</v>
      </c>
      <c r="AS137" s="446"/>
      <c r="AT137" s="448">
        <f t="shared" si="232"/>
        <v>120.9</v>
      </c>
      <c r="AU137" s="448">
        <f>$AU$10*AC137</f>
        <v>838.25984000000005</v>
      </c>
      <c r="AV137" s="448">
        <f t="shared" si="233"/>
        <v>4.1001840000000005</v>
      </c>
      <c r="AW137" s="448">
        <f t="shared" si="233"/>
        <v>11.3894</v>
      </c>
      <c r="AX137" s="448">
        <f t="shared" si="233"/>
        <v>0.91115200000000007</v>
      </c>
      <c r="AY137" s="448">
        <f t="shared" si="233"/>
        <v>0.45557600000000004</v>
      </c>
      <c r="AZ137" s="448">
        <f t="shared" si="233"/>
        <v>7.9725800000000007</v>
      </c>
      <c r="BA137" s="448">
        <f t="shared" si="233"/>
        <v>2.9339094400000003</v>
      </c>
      <c r="BB137" s="448">
        <f t="shared" si="233"/>
        <v>3.8723960000000002</v>
      </c>
      <c r="BC137" s="448">
        <f t="shared" si="234"/>
        <v>27.53</v>
      </c>
      <c r="BD137" s="448">
        <f t="shared" si="235"/>
        <v>31.662531999999999</v>
      </c>
      <c r="BE137" s="448">
        <f t="shared" si="235"/>
        <v>19.134191999999999</v>
      </c>
      <c r="BF137" s="448">
        <f t="shared" si="235"/>
        <v>7.517004</v>
      </c>
      <c r="BG137" s="448">
        <f t="shared" si="235"/>
        <v>0</v>
      </c>
      <c r="BH137" s="448">
        <f t="shared" si="235"/>
        <v>21.459451904000002</v>
      </c>
      <c r="BI137" s="448">
        <f t="shared" si="236"/>
        <v>79.77</v>
      </c>
      <c r="BJ137" s="448">
        <f t="shared" si="237"/>
        <v>949.66</v>
      </c>
      <c r="BK137" s="448">
        <f>IF($N137="FÉRIAS",$AD137*$BK$10,IF($AB137&gt;=15,$AD137*$BK$10,0))</f>
        <v>189.74740400000002</v>
      </c>
      <c r="BL137" s="448">
        <f>IF($N137="FÉRIAS",$AD137*$BL$10,IF($AB137&gt;=15,$AD137*$BL$10,0))</f>
        <v>253.07246800000001</v>
      </c>
      <c r="BM137" s="448">
        <f>$BM$10*BK137</f>
        <v>69.827044672</v>
      </c>
      <c r="BN137" s="448">
        <f>$BN$10*BL137</f>
        <v>93.130668224000004</v>
      </c>
      <c r="BO137" s="448">
        <f>$BO$10*AE137</f>
        <v>97.94883999999999</v>
      </c>
      <c r="BP137" s="448"/>
      <c r="BQ137" s="448">
        <f t="shared" si="238"/>
        <v>703.72</v>
      </c>
      <c r="BR137" s="448">
        <f t="shared" si="239"/>
        <v>1653.38</v>
      </c>
      <c r="BS137" s="448">
        <f t="shared" si="240"/>
        <v>288.66000000000003</v>
      </c>
      <c r="BT137" s="448">
        <f t="shared" si="240"/>
        <v>346.26</v>
      </c>
      <c r="BU137" s="448">
        <f>((AC137+AO137+AT137+BJ137+BS137+BT137)*E137)</f>
        <v>420.58771194000008</v>
      </c>
      <c r="BV137" s="448">
        <f>BQ137*E137</f>
        <v>66.571912000000012</v>
      </c>
      <c r="BW137" s="448">
        <f>SUM(BU137:BV137)</f>
        <v>487.15962394000007</v>
      </c>
      <c r="BX137" s="448">
        <f>BS137+BT137+BW137</f>
        <v>1122.0796239400001</v>
      </c>
      <c r="BY137" s="448">
        <f t="shared" si="241"/>
        <v>4933.1185239400002</v>
      </c>
      <c r="BZ137" s="448">
        <f>BQ137</f>
        <v>703.72</v>
      </c>
      <c r="CA137" s="448">
        <f>BY137+BZ137</f>
        <v>5636.8385239400004</v>
      </c>
      <c r="CB137" s="449"/>
    </row>
    <row r="138" spans="1:80" s="450" customFormat="1" ht="15.75" customHeight="1">
      <c r="A138" s="435">
        <v>1</v>
      </c>
      <c r="B138" s="435">
        <v>1</v>
      </c>
      <c r="C138" s="435" t="s">
        <v>3283</v>
      </c>
      <c r="D138" s="436">
        <f>VLOOKUP(C138,ISS!A:B,2,0)</f>
        <v>0.05</v>
      </c>
      <c r="E138" s="437">
        <f>IF(D138=2%,5.99%,IF(D138=2.5%,6.55%,IF(D138=3%,7.12%,IF(D138=3.5%,7.7%,IF(D138=4%,8.28%,IF(D138=5%,9.46%))))))</f>
        <v>9.4600000000000004E-2</v>
      </c>
      <c r="F138" s="438">
        <v>94</v>
      </c>
      <c r="G138" s="439">
        <v>12434</v>
      </c>
      <c r="H138" s="440" t="s">
        <v>4029</v>
      </c>
      <c r="I138" s="435" t="s">
        <v>3850</v>
      </c>
      <c r="J138" s="102" t="s">
        <v>3521</v>
      </c>
      <c r="K138" s="435" t="str">
        <f>CONCATENATE(C138,I138)</f>
        <v>UberabaVIGILANTE ARMADO - 12X36 NOTURNO</v>
      </c>
      <c r="L138" s="441" t="s">
        <v>3875</v>
      </c>
      <c r="M138" s="441"/>
      <c r="N138" s="102"/>
      <c r="O138" s="102"/>
      <c r="P138" s="102"/>
      <c r="Q138" s="442">
        <f>VLOOKUP('BANCO DADOS-CUSTO TOTAL'!$K138,PARAMETROS!$E:AX,3,0)</f>
        <v>1602.86</v>
      </c>
      <c r="R138" s="442">
        <f>VLOOKUP('BANCO DADOS-CUSTO TOTAL'!$K138,PARAMETROS!$E:AY,4,0)</f>
        <v>0</v>
      </c>
      <c r="S138" s="442">
        <f>VLOOKUP('BANCO DADOS-CUSTO TOTAL'!$K138,PARAMETROS!$E:AZ,5,0)</f>
        <v>480.85799999999995</v>
      </c>
      <c r="T138" s="442">
        <f>VLOOKUP('BANCO DADOS-CUSTO TOTAL'!$K138,PARAMETROS!$E:BA,6,0)</f>
        <v>411.06073272727275</v>
      </c>
      <c r="U138" s="442">
        <f>VLOOKUP('BANCO DADOS-CUSTO TOTAL'!$K138,PARAMETROS!$E:BB,7,0)</f>
        <v>0</v>
      </c>
      <c r="V138" s="442">
        <f>VLOOKUP('BANCO DADOS-CUSTO TOTAL'!$K138,PARAMETROS!$E:BC,8,0)</f>
        <v>0</v>
      </c>
      <c r="W138" s="442">
        <f>VLOOKUP('BANCO DADOS-CUSTO TOTAL'!$K138,PARAMETROS!$E:BD,9,0)</f>
        <v>175.76850162396693</v>
      </c>
      <c r="X138" s="442">
        <f>VLOOKUP('BANCO DADOS-CUSTO TOTAL'!$K138,PARAMETROS!$E:BE,10,0)</f>
        <v>47.357227272727279</v>
      </c>
      <c r="Y138" s="443">
        <f t="shared" si="230"/>
        <v>2717.9</v>
      </c>
      <c r="Z138" s="456"/>
      <c r="AA138" s="444">
        <v>30</v>
      </c>
      <c r="AB138" s="445">
        <f>IF(J138="EFETIVO",IF(AND(L138="",M138=""),$M$5,IF(AND(L138&lt;&gt;"",M138&lt;&gt;"",MONTH(L138)=MONTH(M138),YEAR(L138)=YEAR(M138)),M138-L138+1,IF(AND(L138&lt;&gt;"",M138&lt;&gt;"",MONTH(L138)&lt;&gt;MONTH(M138)),DAY(M138),IF(AND(L138="",M138&lt;&gt;"",MONTH($H$5)=MONTH(M138),YEAR(M138)=YEAR($H$5)),M138-$K$5+1,IF(AND(L138&lt;&gt;"",M138="",MONTH($K$5)=MONTH(L138),YEAR($K$5)=YEAR(L138)),30-DAY(L138)+1,$M$5))))),0)</f>
        <v>30</v>
      </c>
      <c r="AC138" s="446">
        <f>(Y138/30)*(AA138-Z138)</f>
        <v>2717.9</v>
      </c>
      <c r="AD138" s="447">
        <f>Y138</f>
        <v>2717.9</v>
      </c>
      <c r="AE138" s="447">
        <f>IF(AND(J138="EFETIVO",N138="FÉRIAS"),AD138,IF(J138="EFETIVO",AC138,0))</f>
        <v>2717.9</v>
      </c>
      <c r="AF138" s="443">
        <f>IF(J138="EFETIVO",VLOOKUP(K138,PARAMETROS!$E:AX,11,0),0)</f>
        <v>112.9</v>
      </c>
      <c r="AG138" s="443">
        <f>VLOOKUP(H138,'VA E VT - APOIO.LIMPEZA'!F:AX,14,0)</f>
        <v>223.06049999999999</v>
      </c>
      <c r="AH138" s="443">
        <f>VLOOKUP($H138,'VA E VT - APOIO.LIMPEZA'!$F:AY,20,0)</f>
        <v>18.528400000000005</v>
      </c>
      <c r="AI138" s="443">
        <f>IF($J138="EFETIVO",VLOOKUP($K138,PARAMETROS!$E:BA,14,0),0)</f>
        <v>91.08</v>
      </c>
      <c r="AJ138" s="443">
        <f>IF($J138="EFETIVO",VLOOKUP($K138,PARAMETROS!$E:BB,15,0),0)</f>
        <v>17.03</v>
      </c>
      <c r="AK138" s="443"/>
      <c r="AL138" s="443"/>
      <c r="AM138" s="443"/>
      <c r="AN138" s="443"/>
      <c r="AO138" s="448">
        <f t="shared" si="231"/>
        <v>462.59890000000007</v>
      </c>
      <c r="AP138" s="443">
        <f>IF($J138="EFETIVO",VLOOKUP($K138,PARAMETROS!$E:BH,20,0),0)</f>
        <v>62.37</v>
      </c>
      <c r="AQ138" s="446"/>
      <c r="AR138" s="443">
        <f>IF($J138="EFETIVO",VLOOKUP($K138,PARAMETROS!$E:BJ,22,0),0)</f>
        <v>58.53</v>
      </c>
      <c r="AS138" s="446"/>
      <c r="AT138" s="448">
        <f t="shared" si="232"/>
        <v>120.9</v>
      </c>
      <c r="AU138" s="448">
        <f>$AU$10*AC138</f>
        <v>1000.1872</v>
      </c>
      <c r="AV138" s="448">
        <f t="shared" si="233"/>
        <v>4.89222</v>
      </c>
      <c r="AW138" s="448">
        <f t="shared" si="233"/>
        <v>13.589500000000001</v>
      </c>
      <c r="AX138" s="448">
        <f t="shared" si="233"/>
        <v>1.0871600000000001</v>
      </c>
      <c r="AY138" s="448">
        <f t="shared" si="233"/>
        <v>0.54358000000000006</v>
      </c>
      <c r="AZ138" s="448">
        <f t="shared" si="233"/>
        <v>9.5126500000000007</v>
      </c>
      <c r="BA138" s="448">
        <f t="shared" si="233"/>
        <v>3.5006552000000002</v>
      </c>
      <c r="BB138" s="448">
        <f t="shared" si="233"/>
        <v>4.6204299999999998</v>
      </c>
      <c r="BC138" s="448">
        <f t="shared" si="234"/>
        <v>32.85</v>
      </c>
      <c r="BD138" s="448">
        <f t="shared" si="235"/>
        <v>37.77881</v>
      </c>
      <c r="BE138" s="448">
        <f t="shared" si="235"/>
        <v>22.830359999999999</v>
      </c>
      <c r="BF138" s="448">
        <f t="shared" si="235"/>
        <v>8.9690700000000003</v>
      </c>
      <c r="BG138" s="448">
        <f t="shared" si="235"/>
        <v>0</v>
      </c>
      <c r="BH138" s="448">
        <f t="shared" si="235"/>
        <v>25.604792320000001</v>
      </c>
      <c r="BI138" s="448">
        <f t="shared" si="236"/>
        <v>95.18</v>
      </c>
      <c r="BJ138" s="448">
        <f t="shared" si="237"/>
        <v>1133.0999999999999</v>
      </c>
      <c r="BK138" s="448">
        <f>IF($N138="FÉRIAS",$AD138*$BK$10,IF($AB138&gt;=15,$AD138*$BK$10,0))</f>
        <v>226.40107</v>
      </c>
      <c r="BL138" s="448">
        <f>IF($N138="FÉRIAS",$AD138*$BL$10,IF($AB138&gt;=15,$AD138*$BL$10,0))</f>
        <v>301.95869000000005</v>
      </c>
      <c r="BM138" s="448">
        <f>$BM$10*BK138</f>
        <v>83.315593759999999</v>
      </c>
      <c r="BN138" s="448">
        <f>$BN$10*BL138</f>
        <v>111.12079792000002</v>
      </c>
      <c r="BO138" s="448">
        <f>$BO$10*AE138</f>
        <v>116.86969999999999</v>
      </c>
      <c r="BP138" s="448"/>
      <c r="BQ138" s="448">
        <f t="shared" si="238"/>
        <v>839.66</v>
      </c>
      <c r="BR138" s="448">
        <f t="shared" si="239"/>
        <v>1972.76</v>
      </c>
      <c r="BS138" s="448">
        <f t="shared" si="240"/>
        <v>288.66000000000003</v>
      </c>
      <c r="BT138" s="448">
        <f t="shared" si="240"/>
        <v>346.26</v>
      </c>
      <c r="BU138" s="448">
        <f>((AC138+AO138+AT138+BJ138+BS138+BT138)*E138)</f>
        <v>479.56702794000006</v>
      </c>
      <c r="BV138" s="448">
        <f>BQ138*E138</f>
        <v>79.431836000000004</v>
      </c>
      <c r="BW138" s="448">
        <f>SUM(BU138:BV138)</f>
        <v>558.99886394000009</v>
      </c>
      <c r="BX138" s="448">
        <f>BS138+BT138+BW138</f>
        <v>1193.9188639400002</v>
      </c>
      <c r="BY138" s="448">
        <f t="shared" si="241"/>
        <v>5628.4177639400004</v>
      </c>
      <c r="BZ138" s="448">
        <f>BQ138</f>
        <v>839.66</v>
      </c>
      <c r="CA138" s="448">
        <f>BY138+BZ138</f>
        <v>6468.0777639400003</v>
      </c>
      <c r="CB138" s="449"/>
    </row>
    <row r="139" spans="1:80" s="450" customFormat="1" ht="15.75" customHeight="1">
      <c r="A139" s="435">
        <v>1</v>
      </c>
      <c r="B139" s="435">
        <v>1</v>
      </c>
      <c r="C139" s="435" t="s">
        <v>3283</v>
      </c>
      <c r="D139" s="436">
        <f>VLOOKUP(C139,ISS!A:B,2,0)</f>
        <v>0.05</v>
      </c>
      <c r="E139" s="437">
        <f>IF(D139=2%,5.99%,IF(D139=2.5%,6.55%,IF(D139=3%,7.12%,IF(D139=3.5%,7.7%,IF(D139=4%,8.28%,IF(D139=5%,9.46%))))))</f>
        <v>9.4600000000000004E-2</v>
      </c>
      <c r="F139" s="438">
        <v>95</v>
      </c>
      <c r="G139" s="439">
        <v>12435</v>
      </c>
      <c r="H139" s="440" t="s">
        <v>4030</v>
      </c>
      <c r="I139" s="435" t="s">
        <v>3850</v>
      </c>
      <c r="J139" s="102" t="s">
        <v>3521</v>
      </c>
      <c r="K139" s="435" t="str">
        <f>CONCATENATE(C139,I139)</f>
        <v>UberabaVIGILANTE ARMADO - 12X36 NOTURNO</v>
      </c>
      <c r="L139" s="441" t="s">
        <v>3875</v>
      </c>
      <c r="M139" s="441"/>
      <c r="N139" s="102"/>
      <c r="O139" s="102"/>
      <c r="P139" s="102"/>
      <c r="Q139" s="442">
        <f>VLOOKUP('BANCO DADOS-CUSTO TOTAL'!$K139,PARAMETROS!$E:AX,3,0)</f>
        <v>1602.86</v>
      </c>
      <c r="R139" s="442">
        <f>VLOOKUP('BANCO DADOS-CUSTO TOTAL'!$K139,PARAMETROS!$E:AY,4,0)</f>
        <v>0</v>
      </c>
      <c r="S139" s="442">
        <f>VLOOKUP('BANCO DADOS-CUSTO TOTAL'!$K139,PARAMETROS!$E:AZ,5,0)</f>
        <v>480.85799999999995</v>
      </c>
      <c r="T139" s="442">
        <f>VLOOKUP('BANCO DADOS-CUSTO TOTAL'!$K139,PARAMETROS!$E:BA,6,0)</f>
        <v>411.06073272727275</v>
      </c>
      <c r="U139" s="442">
        <f>VLOOKUP('BANCO DADOS-CUSTO TOTAL'!$K139,PARAMETROS!$E:BB,7,0)</f>
        <v>0</v>
      </c>
      <c r="V139" s="442">
        <f>VLOOKUP('BANCO DADOS-CUSTO TOTAL'!$K139,PARAMETROS!$E:BC,8,0)</f>
        <v>0</v>
      </c>
      <c r="W139" s="442">
        <f>VLOOKUP('BANCO DADOS-CUSTO TOTAL'!$K139,PARAMETROS!$E:BD,9,0)</f>
        <v>175.76850162396693</v>
      </c>
      <c r="X139" s="442">
        <f>VLOOKUP('BANCO DADOS-CUSTO TOTAL'!$K139,PARAMETROS!$E:BE,10,0)</f>
        <v>47.357227272727279</v>
      </c>
      <c r="Y139" s="443">
        <f t="shared" si="230"/>
        <v>2717.9</v>
      </c>
      <c r="Z139" s="456"/>
      <c r="AA139" s="444">
        <v>30</v>
      </c>
      <c r="AB139" s="445">
        <f>IF(J139="EFETIVO",IF(AND(L139="",M139=""),$M$5,IF(AND(L139&lt;&gt;"",M139&lt;&gt;"",MONTH(L139)=MONTH(M139),YEAR(L139)=YEAR(M139)),M139-L139+1,IF(AND(L139&lt;&gt;"",M139&lt;&gt;"",MONTH(L139)&lt;&gt;MONTH(M139)),DAY(M139),IF(AND(L139="",M139&lt;&gt;"",MONTH($H$5)=MONTH(M139),YEAR(M139)=YEAR($H$5)),M139-$K$5+1,IF(AND(L139&lt;&gt;"",M139="",MONTH($K$5)=MONTH(L139),YEAR($K$5)=YEAR(L139)),30-DAY(L139)+1,$M$5))))),0)</f>
        <v>30</v>
      </c>
      <c r="AC139" s="446">
        <f>(Y139/30)*(AA139-Z139)</f>
        <v>2717.9</v>
      </c>
      <c r="AD139" s="447">
        <f>Y139</f>
        <v>2717.9</v>
      </c>
      <c r="AE139" s="447">
        <f>IF(AND(J139="EFETIVO",N139="FÉRIAS"),AD139,IF(J139="EFETIVO",AC139,0))</f>
        <v>2717.9</v>
      </c>
      <c r="AF139" s="443">
        <f>IF(J139="EFETIVO",VLOOKUP(K139,PARAMETROS!$E:AX,11,0),0)</f>
        <v>112.9</v>
      </c>
      <c r="AG139" s="443">
        <f>VLOOKUP(H139,'VA E VT - APOIO.LIMPEZA'!F:AX,14,0)</f>
        <v>223.06049999999999</v>
      </c>
      <c r="AH139" s="443">
        <f>VLOOKUP($H139,'VA E VT - APOIO.LIMPEZA'!$F:AY,20,0)</f>
        <v>18.528400000000005</v>
      </c>
      <c r="AI139" s="443">
        <f>IF($J139="EFETIVO",VLOOKUP($K139,PARAMETROS!$E:BA,14,0),0)</f>
        <v>91.08</v>
      </c>
      <c r="AJ139" s="443">
        <f>IF($J139="EFETIVO",VLOOKUP($K139,PARAMETROS!$E:BB,15,0),0)</f>
        <v>17.03</v>
      </c>
      <c r="AK139" s="443"/>
      <c r="AL139" s="443"/>
      <c r="AM139" s="443"/>
      <c r="AN139" s="443"/>
      <c r="AO139" s="448">
        <f t="shared" si="231"/>
        <v>462.59890000000007</v>
      </c>
      <c r="AP139" s="443">
        <f>IF($J139="EFETIVO",VLOOKUP($K139,PARAMETROS!$E:BH,20,0),0)</f>
        <v>62.37</v>
      </c>
      <c r="AQ139" s="446"/>
      <c r="AR139" s="443">
        <f>IF($J139="EFETIVO",VLOOKUP($K139,PARAMETROS!$E:BJ,22,0),0)</f>
        <v>58.53</v>
      </c>
      <c r="AS139" s="446"/>
      <c r="AT139" s="448">
        <f t="shared" si="232"/>
        <v>120.9</v>
      </c>
      <c r="AU139" s="448">
        <f>$AU$10*AC139</f>
        <v>1000.1872</v>
      </c>
      <c r="AV139" s="448">
        <f t="shared" si="233"/>
        <v>4.89222</v>
      </c>
      <c r="AW139" s="448">
        <f t="shared" si="233"/>
        <v>13.589500000000001</v>
      </c>
      <c r="AX139" s="448">
        <f t="shared" si="233"/>
        <v>1.0871600000000001</v>
      </c>
      <c r="AY139" s="448">
        <f t="shared" si="233"/>
        <v>0.54358000000000006</v>
      </c>
      <c r="AZ139" s="448">
        <f t="shared" si="233"/>
        <v>9.5126500000000007</v>
      </c>
      <c r="BA139" s="448">
        <f t="shared" si="233"/>
        <v>3.5006552000000002</v>
      </c>
      <c r="BB139" s="448">
        <f t="shared" si="233"/>
        <v>4.6204299999999998</v>
      </c>
      <c r="BC139" s="448">
        <f t="shared" si="234"/>
        <v>32.85</v>
      </c>
      <c r="BD139" s="448">
        <f t="shared" si="235"/>
        <v>37.77881</v>
      </c>
      <c r="BE139" s="448">
        <f t="shared" si="235"/>
        <v>22.830359999999999</v>
      </c>
      <c r="BF139" s="448">
        <f t="shared" si="235"/>
        <v>8.9690700000000003</v>
      </c>
      <c r="BG139" s="448">
        <f t="shared" si="235"/>
        <v>0</v>
      </c>
      <c r="BH139" s="448">
        <f t="shared" si="235"/>
        <v>25.604792320000001</v>
      </c>
      <c r="BI139" s="448">
        <f t="shared" si="236"/>
        <v>95.18</v>
      </c>
      <c r="BJ139" s="448">
        <f t="shared" si="237"/>
        <v>1133.0999999999999</v>
      </c>
      <c r="BK139" s="448">
        <f>IF($N139="FÉRIAS",$AD139*$BK$10,IF($AB139&gt;=15,$AD139*$BK$10,0))</f>
        <v>226.40107</v>
      </c>
      <c r="BL139" s="448">
        <f>IF($N139="FÉRIAS",$AD139*$BL$10,IF($AB139&gt;=15,$AD139*$BL$10,0))</f>
        <v>301.95869000000005</v>
      </c>
      <c r="BM139" s="448">
        <f>$BM$10*BK139</f>
        <v>83.315593759999999</v>
      </c>
      <c r="BN139" s="448">
        <f>$BN$10*BL139</f>
        <v>111.12079792000002</v>
      </c>
      <c r="BO139" s="448">
        <f>$BO$10*AE139</f>
        <v>116.86969999999999</v>
      </c>
      <c r="BP139" s="448"/>
      <c r="BQ139" s="448">
        <f t="shared" si="238"/>
        <v>839.66</v>
      </c>
      <c r="BR139" s="448">
        <f t="shared" si="239"/>
        <v>1972.76</v>
      </c>
      <c r="BS139" s="448">
        <f t="shared" si="240"/>
        <v>288.66000000000003</v>
      </c>
      <c r="BT139" s="448">
        <f t="shared" si="240"/>
        <v>346.26</v>
      </c>
      <c r="BU139" s="448">
        <f>((AC139+AO139+AT139+BJ139+BS139+BT139)*E139)</f>
        <v>479.56702794000006</v>
      </c>
      <c r="BV139" s="448">
        <f>BQ139*E139</f>
        <v>79.431836000000004</v>
      </c>
      <c r="BW139" s="448">
        <f>SUM(BU139:BV139)</f>
        <v>558.99886394000009</v>
      </c>
      <c r="BX139" s="448">
        <f>BS139+BT139+BW139</f>
        <v>1193.9188639400002</v>
      </c>
      <c r="BY139" s="448">
        <f t="shared" si="241"/>
        <v>5628.4177639400004</v>
      </c>
      <c r="BZ139" s="448">
        <f>BQ139</f>
        <v>839.66</v>
      </c>
      <c r="CA139" s="448">
        <f>BY139+BZ139</f>
        <v>6468.0777639400003</v>
      </c>
      <c r="CB139" s="449"/>
    </row>
    <row r="140" spans="1:80" s="480" customFormat="1" ht="15.75" customHeight="1">
      <c r="A140" s="462"/>
      <c r="B140" s="462"/>
      <c r="C140" s="462" t="s">
        <v>3909</v>
      </c>
      <c r="D140" s="463"/>
      <c r="E140" s="464"/>
      <c r="F140" s="465"/>
      <c r="G140" s="466"/>
      <c r="H140" s="467"/>
      <c r="I140" s="462"/>
      <c r="J140" s="468"/>
      <c r="K140" s="462"/>
      <c r="L140" s="469"/>
      <c r="M140" s="469"/>
      <c r="N140" s="468"/>
      <c r="O140" s="468"/>
      <c r="P140" s="468"/>
      <c r="Q140" s="470"/>
      <c r="R140" s="470"/>
      <c r="S140" s="470"/>
      <c r="T140" s="470"/>
      <c r="U140" s="470"/>
      <c r="V140" s="470"/>
      <c r="W140" s="470"/>
      <c r="X140" s="470"/>
      <c r="Y140" s="471"/>
      <c r="Z140" s="472"/>
      <c r="AA140" s="473"/>
      <c r="AB140" s="474"/>
      <c r="AC140" s="475"/>
      <c r="AD140" s="476"/>
      <c r="AE140" s="476"/>
      <c r="AF140" s="471">
        <f>SUBTOTAL(9,AF136:AF139)</f>
        <v>451.6</v>
      </c>
      <c r="AG140" s="471">
        <f t="shared" ref="AG140:CA140" si="242">SUBTOTAL(9,AG136:AG139)</f>
        <v>892.24199999999996</v>
      </c>
      <c r="AH140" s="471">
        <f t="shared" si="242"/>
        <v>74.113600000000019</v>
      </c>
      <c r="AI140" s="471">
        <f t="shared" si="242"/>
        <v>364.32</v>
      </c>
      <c r="AJ140" s="471">
        <f t="shared" si="242"/>
        <v>68.12</v>
      </c>
      <c r="AK140" s="471">
        <f t="shared" si="242"/>
        <v>0</v>
      </c>
      <c r="AL140" s="471">
        <f t="shared" si="242"/>
        <v>0</v>
      </c>
      <c r="AM140" s="471">
        <f t="shared" si="242"/>
        <v>0</v>
      </c>
      <c r="AN140" s="471">
        <f t="shared" si="242"/>
        <v>0</v>
      </c>
      <c r="AO140" s="471">
        <f t="shared" si="242"/>
        <v>1850.3956000000003</v>
      </c>
      <c r="AP140" s="471">
        <f t="shared" si="242"/>
        <v>249.48</v>
      </c>
      <c r="AQ140" s="471">
        <f t="shared" si="242"/>
        <v>0</v>
      </c>
      <c r="AR140" s="471">
        <f t="shared" si="242"/>
        <v>234.12</v>
      </c>
      <c r="AS140" s="471">
        <f t="shared" si="242"/>
        <v>0</v>
      </c>
      <c r="AT140" s="471">
        <f t="shared" si="242"/>
        <v>483.6</v>
      </c>
      <c r="AU140" s="471">
        <f t="shared" si="242"/>
        <v>3676.89408</v>
      </c>
      <c r="AV140" s="471">
        <f t="shared" si="242"/>
        <v>17.984808000000001</v>
      </c>
      <c r="AW140" s="471">
        <f t="shared" si="242"/>
        <v>49.957800000000006</v>
      </c>
      <c r="AX140" s="471">
        <f t="shared" si="242"/>
        <v>3.9966240000000006</v>
      </c>
      <c r="AY140" s="471">
        <f t="shared" si="242"/>
        <v>1.9983120000000003</v>
      </c>
      <c r="AZ140" s="471">
        <f t="shared" si="242"/>
        <v>34.970460000000003</v>
      </c>
      <c r="BA140" s="471">
        <f t="shared" si="242"/>
        <v>12.869129280000001</v>
      </c>
      <c r="BB140" s="471">
        <f t="shared" si="242"/>
        <v>16.985651999999998</v>
      </c>
      <c r="BC140" s="471">
        <f t="shared" si="242"/>
        <v>120.75999999999999</v>
      </c>
      <c r="BD140" s="471">
        <f t="shared" si="242"/>
        <v>138.88268399999998</v>
      </c>
      <c r="BE140" s="471">
        <f t="shared" si="242"/>
        <v>83.929103999999995</v>
      </c>
      <c r="BF140" s="471">
        <f t="shared" si="242"/>
        <v>32.972148000000004</v>
      </c>
      <c r="BG140" s="471">
        <f t="shared" si="242"/>
        <v>0</v>
      </c>
      <c r="BH140" s="471">
        <f t="shared" si="242"/>
        <v>94.128488448000013</v>
      </c>
      <c r="BI140" s="471">
        <f t="shared" si="242"/>
        <v>349.9</v>
      </c>
      <c r="BJ140" s="471">
        <f t="shared" si="242"/>
        <v>4165.5200000000004</v>
      </c>
      <c r="BK140" s="471">
        <f t="shared" si="242"/>
        <v>832.29694800000004</v>
      </c>
      <c r="BL140" s="471">
        <f t="shared" si="242"/>
        <v>1110.062316</v>
      </c>
      <c r="BM140" s="471">
        <f t="shared" si="242"/>
        <v>306.28527686400002</v>
      </c>
      <c r="BN140" s="471">
        <f t="shared" si="242"/>
        <v>408.50293228800007</v>
      </c>
      <c r="BO140" s="471">
        <f t="shared" si="242"/>
        <v>429.63707999999997</v>
      </c>
      <c r="BP140" s="471">
        <f t="shared" si="242"/>
        <v>0</v>
      </c>
      <c r="BQ140" s="471">
        <f t="shared" si="242"/>
        <v>3086.7599999999998</v>
      </c>
      <c r="BR140" s="471">
        <f t="shared" si="242"/>
        <v>7252.2800000000007</v>
      </c>
      <c r="BS140" s="471">
        <f t="shared" si="242"/>
        <v>1154.6400000000001</v>
      </c>
      <c r="BT140" s="471">
        <f t="shared" si="242"/>
        <v>1385.04</v>
      </c>
      <c r="BU140" s="471">
        <f t="shared" si="242"/>
        <v>1800.3094797600004</v>
      </c>
      <c r="BV140" s="471">
        <f t="shared" si="242"/>
        <v>292.00749600000006</v>
      </c>
      <c r="BW140" s="471">
        <f t="shared" si="242"/>
        <v>2092.3169757600003</v>
      </c>
      <c r="BX140" s="471">
        <f t="shared" si="242"/>
        <v>4631.9969757600002</v>
      </c>
      <c r="BY140" s="471">
        <f t="shared" si="242"/>
        <v>21123.072575760001</v>
      </c>
      <c r="BZ140" s="471">
        <f t="shared" si="242"/>
        <v>3086.7599999999998</v>
      </c>
      <c r="CA140" s="471">
        <f t="shared" si="242"/>
        <v>24209.83257576</v>
      </c>
      <c r="CB140" s="479"/>
    </row>
    <row r="141" spans="1:80" s="450" customFormat="1" ht="15.75" customHeight="1">
      <c r="A141" s="435">
        <v>1</v>
      </c>
      <c r="B141" s="435">
        <v>1</v>
      </c>
      <c r="C141" s="435" t="s">
        <v>3845</v>
      </c>
      <c r="D141" s="436">
        <f>VLOOKUP(C141,ISS!A:B,2,0)</f>
        <v>0.02</v>
      </c>
      <c r="E141" s="437">
        <f t="shared" ref="E141:E146" si="243">IF(D141=2%,5.99%,IF(D141=2.5%,6.55%,IF(D141=3%,7.12%,IF(D141=3.5%,7.7%,IF(D141=4%,8.28%,IF(D141=5%,9.46%))))))</f>
        <v>5.9900000000000002E-2</v>
      </c>
      <c r="F141" s="438">
        <v>96</v>
      </c>
      <c r="G141" s="439">
        <v>12436</v>
      </c>
      <c r="H141" s="440" t="s">
        <v>4031</v>
      </c>
      <c r="I141" s="435" t="s">
        <v>3848</v>
      </c>
      <c r="J141" s="102" t="s">
        <v>3521</v>
      </c>
      <c r="K141" s="435" t="str">
        <f t="shared" ref="K141:K146" si="244">CONCATENATE(C141,I141)</f>
        <v>UberlândiaVIGILANTE ARMADO - 12X36 DIURNO</v>
      </c>
      <c r="L141" s="441" t="s">
        <v>3875</v>
      </c>
      <c r="M141" s="441"/>
      <c r="N141" s="102"/>
      <c r="O141" s="102"/>
      <c r="P141" s="102"/>
      <c r="Q141" s="442">
        <f>VLOOKUP('BANCO DADOS-CUSTO TOTAL'!$K141,PARAMETROS!$E:AX,3,0)</f>
        <v>1602.86</v>
      </c>
      <c r="R141" s="442">
        <f>VLOOKUP('BANCO DADOS-CUSTO TOTAL'!$K141,PARAMETROS!$E:AY,4,0)</f>
        <v>0</v>
      </c>
      <c r="S141" s="442">
        <f>VLOOKUP('BANCO DADOS-CUSTO TOTAL'!$K141,PARAMETROS!$E:AZ,5,0)</f>
        <v>480.85799999999995</v>
      </c>
      <c r="T141" s="442">
        <f>VLOOKUP('BANCO DADOS-CUSTO TOTAL'!$K141,PARAMETROS!$E:BA,6,0)</f>
        <v>0</v>
      </c>
      <c r="U141" s="442">
        <f>VLOOKUP('BANCO DADOS-CUSTO TOTAL'!$K141,PARAMETROS!$E:BB,7,0)</f>
        <v>0</v>
      </c>
      <c r="V141" s="442">
        <f>VLOOKUP('BANCO DADOS-CUSTO TOTAL'!$K141,PARAMETROS!$E:BC,8,0)</f>
        <v>0</v>
      </c>
      <c r="W141" s="442">
        <f>VLOOKUP('BANCO DADOS-CUSTO TOTAL'!$K141,PARAMETROS!$E:BD,9,0)</f>
        <v>146.80740454545455</v>
      </c>
      <c r="X141" s="442">
        <f>VLOOKUP('BANCO DADOS-CUSTO TOTAL'!$K141,PARAMETROS!$E:BE,10,0)</f>
        <v>47.357227272727279</v>
      </c>
      <c r="Y141" s="443">
        <f t="shared" ref="Y141:Y146" si="245">TRUNC(SUM(Q141:X141),2)</f>
        <v>2277.88</v>
      </c>
      <c r="Z141" s="456"/>
      <c r="AA141" s="444">
        <v>30</v>
      </c>
      <c r="AB141" s="445">
        <f t="shared" ref="AB141:AB146" si="246">IF(J141="EFETIVO",IF(AND(L141="",M141=""),$M$5,IF(AND(L141&lt;&gt;"",M141&lt;&gt;"",MONTH(L141)=MONTH(M141),YEAR(L141)=YEAR(M141)),M141-L141+1,IF(AND(L141&lt;&gt;"",M141&lt;&gt;"",MONTH(L141)&lt;&gt;MONTH(M141)),DAY(M141),IF(AND(L141="",M141&lt;&gt;"",MONTH($H$5)=MONTH(M141),YEAR(M141)=YEAR($H$5)),M141-$K$5+1,IF(AND(L141&lt;&gt;"",M141="",MONTH($K$5)=MONTH(L141),YEAR($K$5)=YEAR(L141)),30-DAY(L141)+1,$M$5))))),0)</f>
        <v>30</v>
      </c>
      <c r="AC141" s="446">
        <f t="shared" ref="AC141:AC146" si="247">(Y141/30)*(AA141-Z141)</f>
        <v>2277.88</v>
      </c>
      <c r="AD141" s="447">
        <f t="shared" ref="AD141:AD146" si="248">Y141</f>
        <v>2277.88</v>
      </c>
      <c r="AE141" s="447">
        <f t="shared" ref="AE141:AE146" si="249">IF(AND(J141="EFETIVO",N141="FÉRIAS"),AD141,IF(J141="EFETIVO",AC141,0))</f>
        <v>2277.88</v>
      </c>
      <c r="AF141" s="443">
        <f>IF(J141="EFETIVO",VLOOKUP(K141,PARAMETROS!$E:AX,11,0),0)</f>
        <v>112.9</v>
      </c>
      <c r="AG141" s="443">
        <f>VLOOKUP(H141,'VA E VT - APOIO.LIMPEZA'!F:AX,14,0)</f>
        <v>223.06049999999999</v>
      </c>
      <c r="AH141" s="443">
        <f>VLOOKUP($H141,'VA E VT - APOIO.LIMPEZA'!$F:AY,20,0)</f>
        <v>18.528400000000005</v>
      </c>
      <c r="AI141" s="443">
        <f>IF($J141="EFETIVO",VLOOKUP($K141,PARAMETROS!$E:BA,14,0),0)</f>
        <v>91.08</v>
      </c>
      <c r="AJ141" s="443">
        <f>IF($J141="EFETIVO",VLOOKUP($K141,PARAMETROS!$E:BB,15,0),0)</f>
        <v>17.03</v>
      </c>
      <c r="AK141" s="443"/>
      <c r="AL141" s="443"/>
      <c r="AM141" s="443"/>
      <c r="AN141" s="443"/>
      <c r="AO141" s="448">
        <f t="shared" ref="AO141:AO146" si="250">SUM(AF141:AN141)</f>
        <v>462.59890000000007</v>
      </c>
      <c r="AP141" s="443">
        <f>IF($J141="EFETIVO",VLOOKUP($K141,PARAMETROS!$E:BH,20,0),0)</f>
        <v>62.37</v>
      </c>
      <c r="AQ141" s="446"/>
      <c r="AR141" s="443">
        <f>IF($J141="EFETIVO",VLOOKUP($K141,PARAMETROS!$E:BJ,22,0),0)</f>
        <v>58.53</v>
      </c>
      <c r="AS141" s="446"/>
      <c r="AT141" s="448">
        <f t="shared" ref="AT141:AT146" si="251">(AP141+AQ141+AR141+AS141)</f>
        <v>120.9</v>
      </c>
      <c r="AU141" s="448">
        <f t="shared" ref="AU141:AU146" si="252">$AU$10*AC141</f>
        <v>838.25984000000005</v>
      </c>
      <c r="AV141" s="448">
        <f t="shared" ref="AV141:BB146" si="253">IF($J141="EFETIVO",$Y141*AV$10,0)</f>
        <v>4.1001840000000005</v>
      </c>
      <c r="AW141" s="448">
        <f t="shared" si="253"/>
        <v>11.3894</v>
      </c>
      <c r="AX141" s="448">
        <f t="shared" si="253"/>
        <v>0.91115200000000007</v>
      </c>
      <c r="AY141" s="448">
        <f t="shared" si="253"/>
        <v>0.45557600000000004</v>
      </c>
      <c r="AZ141" s="448">
        <f t="shared" si="253"/>
        <v>7.9725800000000007</v>
      </c>
      <c r="BA141" s="448">
        <f t="shared" si="253"/>
        <v>2.9339094400000003</v>
      </c>
      <c r="BB141" s="448">
        <f t="shared" si="253"/>
        <v>3.8723960000000002</v>
      </c>
      <c r="BC141" s="448">
        <f t="shared" ref="BC141:BC146" si="254">TRUNC(SUM(AW141:BB141),2)</f>
        <v>27.53</v>
      </c>
      <c r="BD141" s="448">
        <f t="shared" ref="BD141:BH146" si="255">IF($J141="EFETIVO",$Y141*BD$10,0)</f>
        <v>31.662531999999999</v>
      </c>
      <c r="BE141" s="448">
        <f t="shared" si="255"/>
        <v>19.134191999999999</v>
      </c>
      <c r="BF141" s="448">
        <f t="shared" si="255"/>
        <v>7.517004</v>
      </c>
      <c r="BG141" s="448">
        <f t="shared" si="255"/>
        <v>0</v>
      </c>
      <c r="BH141" s="448">
        <f t="shared" si="255"/>
        <v>21.459451904000002</v>
      </c>
      <c r="BI141" s="448">
        <f t="shared" ref="BI141:BI146" si="256">TRUNC(SUM(BD141:BH141),2)</f>
        <v>79.77</v>
      </c>
      <c r="BJ141" s="448">
        <f t="shared" ref="BJ141:BJ146" si="257">TRUNC((BI141+BC141+AV141+AU141),2)</f>
        <v>949.66</v>
      </c>
      <c r="BK141" s="448">
        <f t="shared" ref="BK141:BK146" si="258">IF($N141="FÉRIAS",$AD141*$BK$10,IF($AB141&gt;=15,$AD141*$BK$10,0))</f>
        <v>189.74740400000002</v>
      </c>
      <c r="BL141" s="448">
        <f t="shared" ref="BL141:BL146" si="259">IF($N141="FÉRIAS",$AD141*$BL$10,IF($AB141&gt;=15,$AD141*$BL$10,0))</f>
        <v>253.07246800000001</v>
      </c>
      <c r="BM141" s="448">
        <f t="shared" ref="BM141:BM146" si="260">$BM$10*BK141</f>
        <v>69.827044672</v>
      </c>
      <c r="BN141" s="448">
        <f t="shared" ref="BN141:BN146" si="261">$BN$10*BL141</f>
        <v>93.130668224000004</v>
      </c>
      <c r="BO141" s="448">
        <f t="shared" ref="BO141:BO146" si="262">$BO$10*AE141</f>
        <v>97.94883999999999</v>
      </c>
      <c r="BP141" s="448"/>
      <c r="BQ141" s="448">
        <f t="shared" ref="BQ141:BQ146" si="263">TRUNC(SUM(BK141:BP141),2)</f>
        <v>703.72</v>
      </c>
      <c r="BR141" s="448">
        <f t="shared" ref="BR141:BR146" si="264">TRUNC((BJ141+BQ141),2)</f>
        <v>1653.38</v>
      </c>
      <c r="BS141" s="448">
        <f t="shared" ref="BS141:BT146" si="265">IF($J141="EFETIVO",BS$10,0)</f>
        <v>288.66000000000003</v>
      </c>
      <c r="BT141" s="448">
        <f t="shared" si="265"/>
        <v>346.26</v>
      </c>
      <c r="BU141" s="448">
        <f t="shared" ref="BU141:BU146" si="266">((AC141+AO141+AT141+BJ141+BS141+BT141)*E141)</f>
        <v>266.31293811000006</v>
      </c>
      <c r="BV141" s="448">
        <f t="shared" ref="BV141:BV146" si="267">BQ141*E141</f>
        <v>42.152828</v>
      </c>
      <c r="BW141" s="448">
        <f t="shared" ref="BW141:BW146" si="268">SUM(BU141:BV141)</f>
        <v>308.46576611000006</v>
      </c>
      <c r="BX141" s="448">
        <f t="shared" ref="BX141:BX146" si="269">BS141+BT141+BW141</f>
        <v>943.38576611000008</v>
      </c>
      <c r="BY141" s="448">
        <f t="shared" ref="BY141:BY146" si="270">(AC141+AO141+AT141+BJ141+BX141)</f>
        <v>4754.4246661100005</v>
      </c>
      <c r="BZ141" s="448">
        <f t="shared" ref="BZ141:BZ146" si="271">BQ141</f>
        <v>703.72</v>
      </c>
      <c r="CA141" s="448">
        <f t="shared" ref="CA141:CA146" si="272">BY141+BZ141</f>
        <v>5458.1446661100008</v>
      </c>
      <c r="CB141" s="449"/>
    </row>
    <row r="142" spans="1:80" s="450" customFormat="1" ht="15.75" customHeight="1">
      <c r="A142" s="435">
        <v>1</v>
      </c>
      <c r="B142" s="435">
        <v>1</v>
      </c>
      <c r="C142" s="435" t="s">
        <v>3845</v>
      </c>
      <c r="D142" s="436">
        <f>VLOOKUP(C142,ISS!A:B,2,0)</f>
        <v>0.02</v>
      </c>
      <c r="E142" s="437">
        <f t="shared" si="243"/>
        <v>5.9900000000000002E-2</v>
      </c>
      <c r="F142" s="438">
        <v>97</v>
      </c>
      <c r="G142" s="439">
        <v>12437</v>
      </c>
      <c r="H142" s="440" t="s">
        <v>4032</v>
      </c>
      <c r="I142" s="435" t="s">
        <v>3848</v>
      </c>
      <c r="J142" s="102" t="s">
        <v>3521</v>
      </c>
      <c r="K142" s="435" t="str">
        <f t="shared" si="244"/>
        <v>UberlândiaVIGILANTE ARMADO - 12X36 DIURNO</v>
      </c>
      <c r="L142" s="441" t="s">
        <v>3875</v>
      </c>
      <c r="M142" s="441"/>
      <c r="N142" s="102"/>
      <c r="O142" s="102"/>
      <c r="P142" s="102"/>
      <c r="Q142" s="442">
        <f>VLOOKUP('BANCO DADOS-CUSTO TOTAL'!$K142,PARAMETROS!$E:AX,3,0)</f>
        <v>1602.86</v>
      </c>
      <c r="R142" s="442">
        <f>VLOOKUP('BANCO DADOS-CUSTO TOTAL'!$K142,PARAMETROS!$E:AY,4,0)</f>
        <v>0</v>
      </c>
      <c r="S142" s="442">
        <f>VLOOKUP('BANCO DADOS-CUSTO TOTAL'!$K142,PARAMETROS!$E:AZ,5,0)</f>
        <v>480.85799999999995</v>
      </c>
      <c r="T142" s="442">
        <f>VLOOKUP('BANCO DADOS-CUSTO TOTAL'!$K142,PARAMETROS!$E:BA,6,0)</f>
        <v>0</v>
      </c>
      <c r="U142" s="442">
        <f>VLOOKUP('BANCO DADOS-CUSTO TOTAL'!$K142,PARAMETROS!$E:BB,7,0)</f>
        <v>0</v>
      </c>
      <c r="V142" s="442">
        <f>VLOOKUP('BANCO DADOS-CUSTO TOTAL'!$K142,PARAMETROS!$E:BC,8,0)</f>
        <v>0</v>
      </c>
      <c r="W142" s="442">
        <f>VLOOKUP('BANCO DADOS-CUSTO TOTAL'!$K142,PARAMETROS!$E:BD,9,0)</f>
        <v>146.80740454545455</v>
      </c>
      <c r="X142" s="442">
        <f>VLOOKUP('BANCO DADOS-CUSTO TOTAL'!$K142,PARAMETROS!$E:BE,10,0)</f>
        <v>47.357227272727279</v>
      </c>
      <c r="Y142" s="443">
        <f t="shared" si="245"/>
        <v>2277.88</v>
      </c>
      <c r="Z142" s="456"/>
      <c r="AA142" s="444">
        <v>30</v>
      </c>
      <c r="AB142" s="445">
        <f t="shared" si="246"/>
        <v>30</v>
      </c>
      <c r="AC142" s="446">
        <f t="shared" si="247"/>
        <v>2277.88</v>
      </c>
      <c r="AD142" s="447">
        <f t="shared" si="248"/>
        <v>2277.88</v>
      </c>
      <c r="AE142" s="447">
        <f t="shared" si="249"/>
        <v>2277.88</v>
      </c>
      <c r="AF142" s="443">
        <f>IF(J142="EFETIVO",VLOOKUP(K142,PARAMETROS!$E:AX,11,0),0)</f>
        <v>112.9</v>
      </c>
      <c r="AG142" s="443">
        <f>VLOOKUP(H142,'VA E VT - APOIO.LIMPEZA'!F:AX,14,0)</f>
        <v>223.06049999999999</v>
      </c>
      <c r="AH142" s="443">
        <f>VLOOKUP($H142,'VA E VT - APOIO.LIMPEZA'!$F:AY,20,0)</f>
        <v>18.528400000000005</v>
      </c>
      <c r="AI142" s="443">
        <f>IF($J142="EFETIVO",VLOOKUP($K142,PARAMETROS!$E:BA,14,0),0)</f>
        <v>91.08</v>
      </c>
      <c r="AJ142" s="443">
        <f>IF($J142="EFETIVO",VLOOKUP($K142,PARAMETROS!$E:BB,15,0),0)</f>
        <v>17.03</v>
      </c>
      <c r="AK142" s="443"/>
      <c r="AL142" s="443"/>
      <c r="AM142" s="443"/>
      <c r="AN142" s="443"/>
      <c r="AO142" s="448">
        <f t="shared" si="250"/>
        <v>462.59890000000007</v>
      </c>
      <c r="AP142" s="443">
        <f>IF($J142="EFETIVO",VLOOKUP($K142,PARAMETROS!$E:BH,20,0),0)</f>
        <v>62.37</v>
      </c>
      <c r="AQ142" s="446"/>
      <c r="AR142" s="443">
        <f>IF($J142="EFETIVO",VLOOKUP($K142,PARAMETROS!$E:BJ,22,0),0)</f>
        <v>58.53</v>
      </c>
      <c r="AS142" s="446"/>
      <c r="AT142" s="448">
        <f t="shared" si="251"/>
        <v>120.9</v>
      </c>
      <c r="AU142" s="448">
        <f t="shared" si="252"/>
        <v>838.25984000000005</v>
      </c>
      <c r="AV142" s="448">
        <f t="shared" si="253"/>
        <v>4.1001840000000005</v>
      </c>
      <c r="AW142" s="448">
        <f t="shared" si="253"/>
        <v>11.3894</v>
      </c>
      <c r="AX142" s="448">
        <f t="shared" si="253"/>
        <v>0.91115200000000007</v>
      </c>
      <c r="AY142" s="448">
        <f t="shared" si="253"/>
        <v>0.45557600000000004</v>
      </c>
      <c r="AZ142" s="448">
        <f t="shared" si="253"/>
        <v>7.9725800000000007</v>
      </c>
      <c r="BA142" s="448">
        <f t="shared" si="253"/>
        <v>2.9339094400000003</v>
      </c>
      <c r="BB142" s="448">
        <f t="shared" si="253"/>
        <v>3.8723960000000002</v>
      </c>
      <c r="BC142" s="448">
        <f t="shared" si="254"/>
        <v>27.53</v>
      </c>
      <c r="BD142" s="448">
        <f t="shared" si="255"/>
        <v>31.662531999999999</v>
      </c>
      <c r="BE142" s="448">
        <f t="shared" si="255"/>
        <v>19.134191999999999</v>
      </c>
      <c r="BF142" s="448">
        <f t="shared" si="255"/>
        <v>7.517004</v>
      </c>
      <c r="BG142" s="448">
        <f t="shared" si="255"/>
        <v>0</v>
      </c>
      <c r="BH142" s="448">
        <f t="shared" si="255"/>
        <v>21.459451904000002</v>
      </c>
      <c r="BI142" s="448">
        <f t="shared" si="256"/>
        <v>79.77</v>
      </c>
      <c r="BJ142" s="448">
        <f t="shared" si="257"/>
        <v>949.66</v>
      </c>
      <c r="BK142" s="448">
        <f t="shared" si="258"/>
        <v>189.74740400000002</v>
      </c>
      <c r="BL142" s="448">
        <f t="shared" si="259"/>
        <v>253.07246800000001</v>
      </c>
      <c r="BM142" s="448">
        <f t="shared" si="260"/>
        <v>69.827044672</v>
      </c>
      <c r="BN142" s="448">
        <f t="shared" si="261"/>
        <v>93.130668224000004</v>
      </c>
      <c r="BO142" s="448">
        <f t="shared" si="262"/>
        <v>97.94883999999999</v>
      </c>
      <c r="BP142" s="448"/>
      <c r="BQ142" s="448">
        <f t="shared" si="263"/>
        <v>703.72</v>
      </c>
      <c r="BR142" s="448">
        <f t="shared" si="264"/>
        <v>1653.38</v>
      </c>
      <c r="BS142" s="448">
        <f t="shared" si="265"/>
        <v>288.66000000000003</v>
      </c>
      <c r="BT142" s="448">
        <f t="shared" si="265"/>
        <v>346.26</v>
      </c>
      <c r="BU142" s="448">
        <f t="shared" si="266"/>
        <v>266.31293811000006</v>
      </c>
      <c r="BV142" s="448">
        <f t="shared" si="267"/>
        <v>42.152828</v>
      </c>
      <c r="BW142" s="448">
        <f t="shared" si="268"/>
        <v>308.46576611000006</v>
      </c>
      <c r="BX142" s="448">
        <f t="shared" si="269"/>
        <v>943.38576611000008</v>
      </c>
      <c r="BY142" s="448">
        <f t="shared" si="270"/>
        <v>4754.4246661100005</v>
      </c>
      <c r="BZ142" s="448">
        <f t="shared" si="271"/>
        <v>703.72</v>
      </c>
      <c r="CA142" s="448">
        <f t="shared" si="272"/>
        <v>5458.1446661100008</v>
      </c>
      <c r="CB142" s="449"/>
    </row>
    <row r="143" spans="1:80" s="450" customFormat="1" ht="15.75" customHeight="1">
      <c r="A143" s="435">
        <v>1</v>
      </c>
      <c r="B143" s="435">
        <v>1</v>
      </c>
      <c r="C143" s="435" t="s">
        <v>3845</v>
      </c>
      <c r="D143" s="436">
        <f>VLOOKUP(C143,ISS!A:B,2,0)</f>
        <v>0.02</v>
      </c>
      <c r="E143" s="437">
        <f t="shared" si="243"/>
        <v>5.9900000000000002E-2</v>
      </c>
      <c r="F143" s="438">
        <v>98</v>
      </c>
      <c r="G143" s="439">
        <v>12438</v>
      </c>
      <c r="H143" s="440" t="s">
        <v>4033</v>
      </c>
      <c r="I143" s="435" t="s">
        <v>3850</v>
      </c>
      <c r="J143" s="102" t="s">
        <v>3521</v>
      </c>
      <c r="K143" s="435" t="str">
        <f t="shared" si="244"/>
        <v>UberlândiaVIGILANTE ARMADO - 12X36 NOTURNO</v>
      </c>
      <c r="L143" s="441" t="s">
        <v>3875</v>
      </c>
      <c r="M143" s="441"/>
      <c r="N143" s="102"/>
      <c r="O143" s="102"/>
      <c r="P143" s="102"/>
      <c r="Q143" s="442">
        <f>VLOOKUP('BANCO DADOS-CUSTO TOTAL'!$K143,PARAMETROS!$E:AX,3,0)</f>
        <v>1602.86</v>
      </c>
      <c r="R143" s="442">
        <f>VLOOKUP('BANCO DADOS-CUSTO TOTAL'!$K143,PARAMETROS!$E:AY,4,0)</f>
        <v>0</v>
      </c>
      <c r="S143" s="442">
        <f>VLOOKUP('BANCO DADOS-CUSTO TOTAL'!$K143,PARAMETROS!$E:AZ,5,0)</f>
        <v>480.85799999999995</v>
      </c>
      <c r="T143" s="442">
        <f>VLOOKUP('BANCO DADOS-CUSTO TOTAL'!$K143,PARAMETROS!$E:BA,6,0)</f>
        <v>411.06073272727275</v>
      </c>
      <c r="U143" s="442">
        <f>VLOOKUP('BANCO DADOS-CUSTO TOTAL'!$K143,PARAMETROS!$E:BB,7,0)</f>
        <v>0</v>
      </c>
      <c r="V143" s="442">
        <f>VLOOKUP('BANCO DADOS-CUSTO TOTAL'!$K143,PARAMETROS!$E:BC,8,0)</f>
        <v>0</v>
      </c>
      <c r="W143" s="442">
        <f>VLOOKUP('BANCO DADOS-CUSTO TOTAL'!$K143,PARAMETROS!$E:BD,9,0)</f>
        <v>175.76850162396693</v>
      </c>
      <c r="X143" s="442">
        <f>VLOOKUP('BANCO DADOS-CUSTO TOTAL'!$K143,PARAMETROS!$E:BE,10,0)</f>
        <v>47.357227272727279</v>
      </c>
      <c r="Y143" s="443">
        <f t="shared" si="245"/>
        <v>2717.9</v>
      </c>
      <c r="Z143" s="456"/>
      <c r="AA143" s="444">
        <v>30</v>
      </c>
      <c r="AB143" s="445">
        <f t="shared" si="246"/>
        <v>30</v>
      </c>
      <c r="AC143" s="446">
        <f t="shared" si="247"/>
        <v>2717.9</v>
      </c>
      <c r="AD143" s="447">
        <f t="shared" si="248"/>
        <v>2717.9</v>
      </c>
      <c r="AE143" s="447">
        <f t="shared" si="249"/>
        <v>2717.9</v>
      </c>
      <c r="AF143" s="443">
        <f>IF(J143="EFETIVO",VLOOKUP(K143,PARAMETROS!$E:AX,11,0),0)</f>
        <v>112.9</v>
      </c>
      <c r="AG143" s="443">
        <f>VLOOKUP(H143,'VA E VT - APOIO.LIMPEZA'!F:AX,14,0)</f>
        <v>223.06049999999999</v>
      </c>
      <c r="AH143" s="443">
        <f>VLOOKUP($H143,'VA E VT - APOIO.LIMPEZA'!$F:AY,20,0)</f>
        <v>18.528400000000005</v>
      </c>
      <c r="AI143" s="443">
        <f>IF($J143="EFETIVO",VLOOKUP($K143,PARAMETROS!$E:BA,14,0),0)</f>
        <v>91.08</v>
      </c>
      <c r="AJ143" s="443">
        <f>IF($J143="EFETIVO",VLOOKUP($K143,PARAMETROS!$E:BB,15,0),0)</f>
        <v>17.03</v>
      </c>
      <c r="AK143" s="443"/>
      <c r="AL143" s="443"/>
      <c r="AM143" s="443"/>
      <c r="AN143" s="443"/>
      <c r="AO143" s="448">
        <f t="shared" si="250"/>
        <v>462.59890000000007</v>
      </c>
      <c r="AP143" s="443">
        <f>IF($J143="EFETIVO",VLOOKUP($K143,PARAMETROS!$E:BH,20,0),0)</f>
        <v>62.37</v>
      </c>
      <c r="AQ143" s="446"/>
      <c r="AR143" s="443">
        <f>IF($J143="EFETIVO",VLOOKUP($K143,PARAMETROS!$E:BJ,22,0),0)</f>
        <v>58.53</v>
      </c>
      <c r="AS143" s="446"/>
      <c r="AT143" s="448">
        <f t="shared" si="251"/>
        <v>120.9</v>
      </c>
      <c r="AU143" s="448">
        <f t="shared" si="252"/>
        <v>1000.1872</v>
      </c>
      <c r="AV143" s="448">
        <f t="shared" si="253"/>
        <v>4.89222</v>
      </c>
      <c r="AW143" s="448">
        <f t="shared" si="253"/>
        <v>13.589500000000001</v>
      </c>
      <c r="AX143" s="448">
        <f t="shared" si="253"/>
        <v>1.0871600000000001</v>
      </c>
      <c r="AY143" s="448">
        <f t="shared" si="253"/>
        <v>0.54358000000000006</v>
      </c>
      <c r="AZ143" s="448">
        <f t="shared" si="253"/>
        <v>9.5126500000000007</v>
      </c>
      <c r="BA143" s="448">
        <f t="shared" si="253"/>
        <v>3.5006552000000002</v>
      </c>
      <c r="BB143" s="448">
        <f t="shared" si="253"/>
        <v>4.6204299999999998</v>
      </c>
      <c r="BC143" s="448">
        <f t="shared" si="254"/>
        <v>32.85</v>
      </c>
      <c r="BD143" s="448">
        <f t="shared" si="255"/>
        <v>37.77881</v>
      </c>
      <c r="BE143" s="448">
        <f t="shared" si="255"/>
        <v>22.830359999999999</v>
      </c>
      <c r="BF143" s="448">
        <f t="shared" si="255"/>
        <v>8.9690700000000003</v>
      </c>
      <c r="BG143" s="448">
        <f t="shared" si="255"/>
        <v>0</v>
      </c>
      <c r="BH143" s="448">
        <f t="shared" si="255"/>
        <v>25.604792320000001</v>
      </c>
      <c r="BI143" s="448">
        <f t="shared" si="256"/>
        <v>95.18</v>
      </c>
      <c r="BJ143" s="448">
        <f t="shared" si="257"/>
        <v>1133.0999999999999</v>
      </c>
      <c r="BK143" s="448">
        <f t="shared" si="258"/>
        <v>226.40107</v>
      </c>
      <c r="BL143" s="448">
        <f t="shared" si="259"/>
        <v>301.95869000000005</v>
      </c>
      <c r="BM143" s="448">
        <f t="shared" si="260"/>
        <v>83.315593759999999</v>
      </c>
      <c r="BN143" s="448">
        <f t="shared" si="261"/>
        <v>111.12079792000002</v>
      </c>
      <c r="BO143" s="448">
        <f t="shared" si="262"/>
        <v>116.86969999999999</v>
      </c>
      <c r="BP143" s="448"/>
      <c r="BQ143" s="448">
        <f t="shared" si="263"/>
        <v>839.66</v>
      </c>
      <c r="BR143" s="448">
        <f t="shared" si="264"/>
        <v>1972.76</v>
      </c>
      <c r="BS143" s="448">
        <f t="shared" si="265"/>
        <v>288.66000000000003</v>
      </c>
      <c r="BT143" s="448">
        <f t="shared" si="265"/>
        <v>346.26</v>
      </c>
      <c r="BU143" s="448">
        <f t="shared" si="266"/>
        <v>303.65819211000002</v>
      </c>
      <c r="BV143" s="448">
        <f t="shared" si="267"/>
        <v>50.295634</v>
      </c>
      <c r="BW143" s="448">
        <f t="shared" si="268"/>
        <v>353.95382611000002</v>
      </c>
      <c r="BX143" s="448">
        <f t="shared" si="269"/>
        <v>988.8738261100001</v>
      </c>
      <c r="BY143" s="448">
        <f t="shared" si="270"/>
        <v>5423.3727261100003</v>
      </c>
      <c r="BZ143" s="448">
        <f t="shared" si="271"/>
        <v>839.66</v>
      </c>
      <c r="CA143" s="448">
        <f t="shared" si="272"/>
        <v>6263.0327261100001</v>
      </c>
      <c r="CB143" s="449"/>
    </row>
    <row r="144" spans="1:80" s="450" customFormat="1" ht="15.75" customHeight="1">
      <c r="A144" s="435">
        <v>1</v>
      </c>
      <c r="B144" s="435">
        <v>1</v>
      </c>
      <c r="C144" s="435" t="s">
        <v>3845</v>
      </c>
      <c r="D144" s="436">
        <f>VLOOKUP(C144,ISS!A:B,2,0)</f>
        <v>0.02</v>
      </c>
      <c r="E144" s="437">
        <f t="shared" si="243"/>
        <v>5.9900000000000002E-2</v>
      </c>
      <c r="F144" s="438">
        <v>99</v>
      </c>
      <c r="G144" s="439">
        <v>12439</v>
      </c>
      <c r="H144" s="440" t="s">
        <v>4034</v>
      </c>
      <c r="I144" s="435" t="s">
        <v>3850</v>
      </c>
      <c r="J144" s="102" t="s">
        <v>3521</v>
      </c>
      <c r="K144" s="435" t="str">
        <f t="shared" si="244"/>
        <v>UberlândiaVIGILANTE ARMADO - 12X36 NOTURNO</v>
      </c>
      <c r="L144" s="441" t="s">
        <v>3875</v>
      </c>
      <c r="M144" s="441"/>
      <c r="N144" s="102"/>
      <c r="O144" s="102"/>
      <c r="P144" s="102"/>
      <c r="Q144" s="442">
        <f>VLOOKUP('BANCO DADOS-CUSTO TOTAL'!$K144,PARAMETROS!$E:AX,3,0)</f>
        <v>1602.86</v>
      </c>
      <c r="R144" s="442">
        <f>VLOOKUP('BANCO DADOS-CUSTO TOTAL'!$K144,PARAMETROS!$E:AY,4,0)</f>
        <v>0</v>
      </c>
      <c r="S144" s="442">
        <f>VLOOKUP('BANCO DADOS-CUSTO TOTAL'!$K144,PARAMETROS!$E:AZ,5,0)</f>
        <v>480.85799999999995</v>
      </c>
      <c r="T144" s="442">
        <f>VLOOKUP('BANCO DADOS-CUSTO TOTAL'!$K144,PARAMETROS!$E:BA,6,0)</f>
        <v>411.06073272727275</v>
      </c>
      <c r="U144" s="442">
        <f>VLOOKUP('BANCO DADOS-CUSTO TOTAL'!$K144,PARAMETROS!$E:BB,7,0)</f>
        <v>0</v>
      </c>
      <c r="V144" s="442">
        <f>VLOOKUP('BANCO DADOS-CUSTO TOTAL'!$K144,PARAMETROS!$E:BC,8,0)</f>
        <v>0</v>
      </c>
      <c r="W144" s="442">
        <f>VLOOKUP('BANCO DADOS-CUSTO TOTAL'!$K144,PARAMETROS!$E:BD,9,0)</f>
        <v>175.76850162396693</v>
      </c>
      <c r="X144" s="442">
        <f>VLOOKUP('BANCO DADOS-CUSTO TOTAL'!$K144,PARAMETROS!$E:BE,10,0)</f>
        <v>47.357227272727279</v>
      </c>
      <c r="Y144" s="443">
        <f t="shared" si="245"/>
        <v>2717.9</v>
      </c>
      <c r="Z144" s="456"/>
      <c r="AA144" s="444">
        <v>30</v>
      </c>
      <c r="AB144" s="445">
        <f t="shared" si="246"/>
        <v>30</v>
      </c>
      <c r="AC144" s="446">
        <f t="shared" si="247"/>
        <v>2717.9</v>
      </c>
      <c r="AD144" s="447">
        <f t="shared" si="248"/>
        <v>2717.9</v>
      </c>
      <c r="AE144" s="447">
        <f t="shared" si="249"/>
        <v>2717.9</v>
      </c>
      <c r="AF144" s="443">
        <f>IF(J144="EFETIVO",VLOOKUP(K144,PARAMETROS!$E:AX,11,0),0)</f>
        <v>112.9</v>
      </c>
      <c r="AG144" s="443">
        <f>VLOOKUP(H144,'VA E VT - APOIO.LIMPEZA'!F:AX,14,0)</f>
        <v>223.06049999999999</v>
      </c>
      <c r="AH144" s="443">
        <f>VLOOKUP($H144,'VA E VT - APOIO.LIMPEZA'!$F:AY,20,0)</f>
        <v>18.528400000000005</v>
      </c>
      <c r="AI144" s="443">
        <f>IF($J144="EFETIVO",VLOOKUP($K144,PARAMETROS!$E:BA,14,0),0)</f>
        <v>91.08</v>
      </c>
      <c r="AJ144" s="443">
        <f>IF($J144="EFETIVO",VLOOKUP($K144,PARAMETROS!$E:BB,15,0),0)</f>
        <v>17.03</v>
      </c>
      <c r="AK144" s="443"/>
      <c r="AL144" s="443"/>
      <c r="AM144" s="443"/>
      <c r="AN144" s="443"/>
      <c r="AO144" s="448">
        <f t="shared" si="250"/>
        <v>462.59890000000007</v>
      </c>
      <c r="AP144" s="443">
        <f>IF($J144="EFETIVO",VLOOKUP($K144,PARAMETROS!$E:BH,20,0),0)</f>
        <v>62.37</v>
      </c>
      <c r="AQ144" s="446"/>
      <c r="AR144" s="443">
        <f>IF($J144="EFETIVO",VLOOKUP($K144,PARAMETROS!$E:BJ,22,0),0)</f>
        <v>58.53</v>
      </c>
      <c r="AS144" s="446"/>
      <c r="AT144" s="448">
        <f t="shared" si="251"/>
        <v>120.9</v>
      </c>
      <c r="AU144" s="448">
        <f t="shared" si="252"/>
        <v>1000.1872</v>
      </c>
      <c r="AV144" s="448">
        <f t="shared" si="253"/>
        <v>4.89222</v>
      </c>
      <c r="AW144" s="448">
        <f t="shared" si="253"/>
        <v>13.589500000000001</v>
      </c>
      <c r="AX144" s="448">
        <f t="shared" si="253"/>
        <v>1.0871600000000001</v>
      </c>
      <c r="AY144" s="448">
        <f t="shared" si="253"/>
        <v>0.54358000000000006</v>
      </c>
      <c r="AZ144" s="448">
        <f t="shared" si="253"/>
        <v>9.5126500000000007</v>
      </c>
      <c r="BA144" s="448">
        <f t="shared" si="253"/>
        <v>3.5006552000000002</v>
      </c>
      <c r="BB144" s="448">
        <f t="shared" si="253"/>
        <v>4.6204299999999998</v>
      </c>
      <c r="BC144" s="448">
        <f t="shared" si="254"/>
        <v>32.85</v>
      </c>
      <c r="BD144" s="448">
        <f t="shared" si="255"/>
        <v>37.77881</v>
      </c>
      <c r="BE144" s="448">
        <f t="shared" si="255"/>
        <v>22.830359999999999</v>
      </c>
      <c r="BF144" s="448">
        <f t="shared" si="255"/>
        <v>8.9690700000000003</v>
      </c>
      <c r="BG144" s="448">
        <f t="shared" si="255"/>
        <v>0</v>
      </c>
      <c r="BH144" s="448">
        <f t="shared" si="255"/>
        <v>25.604792320000001</v>
      </c>
      <c r="BI144" s="448">
        <f t="shared" si="256"/>
        <v>95.18</v>
      </c>
      <c r="BJ144" s="448">
        <f t="shared" si="257"/>
        <v>1133.0999999999999</v>
      </c>
      <c r="BK144" s="448">
        <f t="shared" si="258"/>
        <v>226.40107</v>
      </c>
      <c r="BL144" s="448">
        <f t="shared" si="259"/>
        <v>301.95869000000005</v>
      </c>
      <c r="BM144" s="448">
        <f t="shared" si="260"/>
        <v>83.315593759999999</v>
      </c>
      <c r="BN144" s="448">
        <f t="shared" si="261"/>
        <v>111.12079792000002</v>
      </c>
      <c r="BO144" s="448">
        <f t="shared" si="262"/>
        <v>116.86969999999999</v>
      </c>
      <c r="BP144" s="448"/>
      <c r="BQ144" s="448">
        <f t="shared" si="263"/>
        <v>839.66</v>
      </c>
      <c r="BR144" s="448">
        <f t="shared" si="264"/>
        <v>1972.76</v>
      </c>
      <c r="BS144" s="448">
        <f t="shared" si="265"/>
        <v>288.66000000000003</v>
      </c>
      <c r="BT144" s="448">
        <f t="shared" si="265"/>
        <v>346.26</v>
      </c>
      <c r="BU144" s="448">
        <f t="shared" si="266"/>
        <v>303.65819211000002</v>
      </c>
      <c r="BV144" s="448">
        <f t="shared" si="267"/>
        <v>50.295634</v>
      </c>
      <c r="BW144" s="448">
        <f t="shared" si="268"/>
        <v>353.95382611000002</v>
      </c>
      <c r="BX144" s="448">
        <f t="shared" si="269"/>
        <v>988.8738261100001</v>
      </c>
      <c r="BY144" s="448">
        <f t="shared" si="270"/>
        <v>5423.3727261100003</v>
      </c>
      <c r="BZ144" s="448">
        <f t="shared" si="271"/>
        <v>839.66</v>
      </c>
      <c r="CA144" s="448">
        <f t="shared" si="272"/>
        <v>6263.0327261100001</v>
      </c>
      <c r="CB144" s="449"/>
    </row>
    <row r="145" spans="1:80" s="450" customFormat="1" ht="15.75" customHeight="1">
      <c r="A145" s="435">
        <v>1</v>
      </c>
      <c r="B145" s="435">
        <v>1</v>
      </c>
      <c r="C145" s="435" t="s">
        <v>3845</v>
      </c>
      <c r="D145" s="436">
        <f>VLOOKUP(C145,ISS!A:B,2,0)</f>
        <v>0.02</v>
      </c>
      <c r="E145" s="437">
        <f t="shared" si="243"/>
        <v>5.9900000000000002E-2</v>
      </c>
      <c r="F145" s="438">
        <v>100</v>
      </c>
      <c r="G145" s="439">
        <v>12440</v>
      </c>
      <c r="H145" s="440" t="s">
        <v>4035</v>
      </c>
      <c r="I145" s="435" t="s">
        <v>3850</v>
      </c>
      <c r="J145" s="102" t="s">
        <v>3521</v>
      </c>
      <c r="K145" s="435" t="str">
        <f t="shared" si="244"/>
        <v>UberlândiaVIGILANTE ARMADO - 12X36 NOTURNO</v>
      </c>
      <c r="L145" s="441" t="s">
        <v>3875</v>
      </c>
      <c r="M145" s="441"/>
      <c r="N145" s="102"/>
      <c r="O145" s="102"/>
      <c r="P145" s="102"/>
      <c r="Q145" s="442">
        <f>VLOOKUP('BANCO DADOS-CUSTO TOTAL'!$K145,PARAMETROS!$E:AX,3,0)</f>
        <v>1602.86</v>
      </c>
      <c r="R145" s="442">
        <f>VLOOKUP('BANCO DADOS-CUSTO TOTAL'!$K145,PARAMETROS!$E:AY,4,0)</f>
        <v>0</v>
      </c>
      <c r="S145" s="442">
        <f>VLOOKUP('BANCO DADOS-CUSTO TOTAL'!$K145,PARAMETROS!$E:AZ,5,0)</f>
        <v>480.85799999999995</v>
      </c>
      <c r="T145" s="442">
        <f>VLOOKUP('BANCO DADOS-CUSTO TOTAL'!$K145,PARAMETROS!$E:BA,6,0)</f>
        <v>411.06073272727275</v>
      </c>
      <c r="U145" s="442">
        <f>VLOOKUP('BANCO DADOS-CUSTO TOTAL'!$K145,PARAMETROS!$E:BB,7,0)</f>
        <v>0</v>
      </c>
      <c r="V145" s="442">
        <f>VLOOKUP('BANCO DADOS-CUSTO TOTAL'!$K145,PARAMETROS!$E:BC,8,0)</f>
        <v>0</v>
      </c>
      <c r="W145" s="442">
        <f>VLOOKUP('BANCO DADOS-CUSTO TOTAL'!$K145,PARAMETROS!$E:BD,9,0)</f>
        <v>175.76850162396693</v>
      </c>
      <c r="X145" s="442">
        <f>VLOOKUP('BANCO DADOS-CUSTO TOTAL'!$K145,PARAMETROS!$E:BE,10,0)</f>
        <v>47.357227272727279</v>
      </c>
      <c r="Y145" s="443">
        <f t="shared" si="245"/>
        <v>2717.9</v>
      </c>
      <c r="Z145" s="456"/>
      <c r="AA145" s="444">
        <v>30</v>
      </c>
      <c r="AB145" s="445">
        <f t="shared" si="246"/>
        <v>30</v>
      </c>
      <c r="AC145" s="446">
        <f t="shared" si="247"/>
        <v>2717.9</v>
      </c>
      <c r="AD145" s="447">
        <f t="shared" si="248"/>
        <v>2717.9</v>
      </c>
      <c r="AE145" s="447">
        <f t="shared" si="249"/>
        <v>2717.9</v>
      </c>
      <c r="AF145" s="443">
        <f>IF(J145="EFETIVO",VLOOKUP(K145,PARAMETROS!$E:AX,11,0),0)</f>
        <v>112.9</v>
      </c>
      <c r="AG145" s="443">
        <f>VLOOKUP(H145,'VA E VT - APOIO.LIMPEZA'!F:AX,14,0)</f>
        <v>223.06049999999999</v>
      </c>
      <c r="AH145" s="443">
        <f>VLOOKUP($H145,'VA E VT - APOIO.LIMPEZA'!$F:AY,20,0)</f>
        <v>18.528400000000005</v>
      </c>
      <c r="AI145" s="443">
        <f>IF($J145="EFETIVO",VLOOKUP($K145,PARAMETROS!$E:BA,14,0),0)</f>
        <v>91.08</v>
      </c>
      <c r="AJ145" s="443">
        <f>IF($J145="EFETIVO",VLOOKUP($K145,PARAMETROS!$E:BB,15,0),0)</f>
        <v>17.03</v>
      </c>
      <c r="AK145" s="443"/>
      <c r="AL145" s="443"/>
      <c r="AM145" s="443"/>
      <c r="AN145" s="443"/>
      <c r="AO145" s="448">
        <f t="shared" si="250"/>
        <v>462.59890000000007</v>
      </c>
      <c r="AP145" s="443">
        <f>IF($J145="EFETIVO",VLOOKUP($K145,PARAMETROS!$E:BH,20,0),0)</f>
        <v>62.37</v>
      </c>
      <c r="AQ145" s="446"/>
      <c r="AR145" s="443">
        <f>IF($J145="EFETIVO",VLOOKUP($K145,PARAMETROS!$E:BJ,22,0),0)</f>
        <v>58.53</v>
      </c>
      <c r="AS145" s="446"/>
      <c r="AT145" s="448">
        <f t="shared" si="251"/>
        <v>120.9</v>
      </c>
      <c r="AU145" s="448">
        <f t="shared" si="252"/>
        <v>1000.1872</v>
      </c>
      <c r="AV145" s="448">
        <f t="shared" si="253"/>
        <v>4.89222</v>
      </c>
      <c r="AW145" s="448">
        <f t="shared" si="253"/>
        <v>13.589500000000001</v>
      </c>
      <c r="AX145" s="448">
        <f t="shared" si="253"/>
        <v>1.0871600000000001</v>
      </c>
      <c r="AY145" s="448">
        <f t="shared" si="253"/>
        <v>0.54358000000000006</v>
      </c>
      <c r="AZ145" s="448">
        <f t="shared" si="253"/>
        <v>9.5126500000000007</v>
      </c>
      <c r="BA145" s="448">
        <f t="shared" si="253"/>
        <v>3.5006552000000002</v>
      </c>
      <c r="BB145" s="448">
        <f t="shared" si="253"/>
        <v>4.6204299999999998</v>
      </c>
      <c r="BC145" s="448">
        <f t="shared" si="254"/>
        <v>32.85</v>
      </c>
      <c r="BD145" s="448">
        <f t="shared" si="255"/>
        <v>37.77881</v>
      </c>
      <c r="BE145" s="448">
        <f t="shared" si="255"/>
        <v>22.830359999999999</v>
      </c>
      <c r="BF145" s="448">
        <f t="shared" si="255"/>
        <v>8.9690700000000003</v>
      </c>
      <c r="BG145" s="448">
        <f t="shared" si="255"/>
        <v>0</v>
      </c>
      <c r="BH145" s="448">
        <f t="shared" si="255"/>
        <v>25.604792320000001</v>
      </c>
      <c r="BI145" s="448">
        <f t="shared" si="256"/>
        <v>95.18</v>
      </c>
      <c r="BJ145" s="448">
        <f t="shared" si="257"/>
        <v>1133.0999999999999</v>
      </c>
      <c r="BK145" s="448">
        <f t="shared" si="258"/>
        <v>226.40107</v>
      </c>
      <c r="BL145" s="448">
        <f t="shared" si="259"/>
        <v>301.95869000000005</v>
      </c>
      <c r="BM145" s="448">
        <f t="shared" si="260"/>
        <v>83.315593759999999</v>
      </c>
      <c r="BN145" s="448">
        <f t="shared" si="261"/>
        <v>111.12079792000002</v>
      </c>
      <c r="BO145" s="448">
        <f t="shared" si="262"/>
        <v>116.86969999999999</v>
      </c>
      <c r="BP145" s="448"/>
      <c r="BQ145" s="448">
        <f t="shared" si="263"/>
        <v>839.66</v>
      </c>
      <c r="BR145" s="448">
        <f t="shared" si="264"/>
        <v>1972.76</v>
      </c>
      <c r="BS145" s="448">
        <f t="shared" si="265"/>
        <v>288.66000000000003</v>
      </c>
      <c r="BT145" s="448">
        <f t="shared" si="265"/>
        <v>346.26</v>
      </c>
      <c r="BU145" s="448">
        <f t="shared" si="266"/>
        <v>303.65819211000002</v>
      </c>
      <c r="BV145" s="448">
        <f t="shared" si="267"/>
        <v>50.295634</v>
      </c>
      <c r="BW145" s="448">
        <f t="shared" si="268"/>
        <v>353.95382611000002</v>
      </c>
      <c r="BX145" s="448">
        <f t="shared" si="269"/>
        <v>988.8738261100001</v>
      </c>
      <c r="BY145" s="448">
        <f t="shared" si="270"/>
        <v>5423.3727261100003</v>
      </c>
      <c r="BZ145" s="448">
        <f t="shared" si="271"/>
        <v>839.66</v>
      </c>
      <c r="CA145" s="448">
        <f t="shared" si="272"/>
        <v>6263.0327261100001</v>
      </c>
      <c r="CB145" s="449"/>
    </row>
    <row r="146" spans="1:80" s="450" customFormat="1" ht="15.75" customHeight="1">
      <c r="A146" s="435">
        <v>1</v>
      </c>
      <c r="B146" s="435">
        <v>1</v>
      </c>
      <c r="C146" s="435" t="s">
        <v>3845</v>
      </c>
      <c r="D146" s="436">
        <f>VLOOKUP(C146,ISS!A:B,2,0)</f>
        <v>0.02</v>
      </c>
      <c r="E146" s="437">
        <f t="shared" si="243"/>
        <v>5.9900000000000002E-2</v>
      </c>
      <c r="F146" s="438">
        <v>101</v>
      </c>
      <c r="G146" s="439">
        <v>12441</v>
      </c>
      <c r="H146" s="440" t="s">
        <v>4036</v>
      </c>
      <c r="I146" s="435" t="s">
        <v>3850</v>
      </c>
      <c r="J146" s="102" t="s">
        <v>3521</v>
      </c>
      <c r="K146" s="435" t="str">
        <f t="shared" si="244"/>
        <v>UberlândiaVIGILANTE ARMADO - 12X36 NOTURNO</v>
      </c>
      <c r="L146" s="441" t="s">
        <v>3875</v>
      </c>
      <c r="M146" s="441"/>
      <c r="N146" s="102"/>
      <c r="O146" s="102"/>
      <c r="P146" s="102"/>
      <c r="Q146" s="442">
        <f>VLOOKUP('BANCO DADOS-CUSTO TOTAL'!$K146,PARAMETROS!$E:AX,3,0)</f>
        <v>1602.86</v>
      </c>
      <c r="R146" s="442">
        <f>VLOOKUP('BANCO DADOS-CUSTO TOTAL'!$K146,PARAMETROS!$E:AY,4,0)</f>
        <v>0</v>
      </c>
      <c r="S146" s="442">
        <f>VLOOKUP('BANCO DADOS-CUSTO TOTAL'!$K146,PARAMETROS!$E:AZ,5,0)</f>
        <v>480.85799999999995</v>
      </c>
      <c r="T146" s="442">
        <f>VLOOKUP('BANCO DADOS-CUSTO TOTAL'!$K146,PARAMETROS!$E:BA,6,0)</f>
        <v>411.06073272727275</v>
      </c>
      <c r="U146" s="442">
        <f>VLOOKUP('BANCO DADOS-CUSTO TOTAL'!$K146,PARAMETROS!$E:BB,7,0)</f>
        <v>0</v>
      </c>
      <c r="V146" s="442">
        <f>VLOOKUP('BANCO DADOS-CUSTO TOTAL'!$K146,PARAMETROS!$E:BC,8,0)</f>
        <v>0</v>
      </c>
      <c r="W146" s="442">
        <f>VLOOKUP('BANCO DADOS-CUSTO TOTAL'!$K146,PARAMETROS!$E:BD,9,0)</f>
        <v>175.76850162396693</v>
      </c>
      <c r="X146" s="442">
        <f>VLOOKUP('BANCO DADOS-CUSTO TOTAL'!$K146,PARAMETROS!$E:BE,10,0)</f>
        <v>47.357227272727279</v>
      </c>
      <c r="Y146" s="443">
        <f t="shared" si="245"/>
        <v>2717.9</v>
      </c>
      <c r="Z146" s="456"/>
      <c r="AA146" s="444">
        <v>30</v>
      </c>
      <c r="AB146" s="445">
        <f t="shared" si="246"/>
        <v>30</v>
      </c>
      <c r="AC146" s="446">
        <f t="shared" si="247"/>
        <v>2717.9</v>
      </c>
      <c r="AD146" s="447">
        <f t="shared" si="248"/>
        <v>2717.9</v>
      </c>
      <c r="AE146" s="447">
        <f t="shared" si="249"/>
        <v>2717.9</v>
      </c>
      <c r="AF146" s="443">
        <f>IF(J146="EFETIVO",VLOOKUP(K146,PARAMETROS!$E:AX,11,0),0)</f>
        <v>112.9</v>
      </c>
      <c r="AG146" s="443">
        <f>VLOOKUP(H146,'VA E VT - APOIO.LIMPEZA'!F:AX,14,0)</f>
        <v>223.06049999999999</v>
      </c>
      <c r="AH146" s="443">
        <f>VLOOKUP($H146,'VA E VT - APOIO.LIMPEZA'!$F:AY,20,0)</f>
        <v>18.528400000000005</v>
      </c>
      <c r="AI146" s="443">
        <f>IF($J146="EFETIVO",VLOOKUP($K146,PARAMETROS!$E:BA,14,0),0)</f>
        <v>91.08</v>
      </c>
      <c r="AJ146" s="443">
        <f>IF($J146="EFETIVO",VLOOKUP($K146,PARAMETROS!$E:BB,15,0),0)</f>
        <v>17.03</v>
      </c>
      <c r="AK146" s="443"/>
      <c r="AL146" s="443"/>
      <c r="AM146" s="443"/>
      <c r="AN146" s="443"/>
      <c r="AO146" s="448">
        <f t="shared" si="250"/>
        <v>462.59890000000007</v>
      </c>
      <c r="AP146" s="443">
        <f>IF($J146="EFETIVO",VLOOKUP($K146,PARAMETROS!$E:BH,20,0),0)</f>
        <v>62.37</v>
      </c>
      <c r="AQ146" s="446"/>
      <c r="AR146" s="443">
        <f>IF($J146="EFETIVO",VLOOKUP($K146,PARAMETROS!$E:BJ,22,0),0)</f>
        <v>58.53</v>
      </c>
      <c r="AS146" s="446"/>
      <c r="AT146" s="448">
        <f t="shared" si="251"/>
        <v>120.9</v>
      </c>
      <c r="AU146" s="448">
        <f t="shared" si="252"/>
        <v>1000.1872</v>
      </c>
      <c r="AV146" s="448">
        <f t="shared" si="253"/>
        <v>4.89222</v>
      </c>
      <c r="AW146" s="448">
        <f t="shared" si="253"/>
        <v>13.589500000000001</v>
      </c>
      <c r="AX146" s="448">
        <f t="shared" si="253"/>
        <v>1.0871600000000001</v>
      </c>
      <c r="AY146" s="448">
        <f t="shared" si="253"/>
        <v>0.54358000000000006</v>
      </c>
      <c r="AZ146" s="448">
        <f t="shared" si="253"/>
        <v>9.5126500000000007</v>
      </c>
      <c r="BA146" s="448">
        <f t="shared" si="253"/>
        <v>3.5006552000000002</v>
      </c>
      <c r="BB146" s="448">
        <f t="shared" si="253"/>
        <v>4.6204299999999998</v>
      </c>
      <c r="BC146" s="448">
        <f t="shared" si="254"/>
        <v>32.85</v>
      </c>
      <c r="BD146" s="448">
        <f t="shared" si="255"/>
        <v>37.77881</v>
      </c>
      <c r="BE146" s="448">
        <f t="shared" si="255"/>
        <v>22.830359999999999</v>
      </c>
      <c r="BF146" s="448">
        <f t="shared" si="255"/>
        <v>8.9690700000000003</v>
      </c>
      <c r="BG146" s="448">
        <f t="shared" si="255"/>
        <v>0</v>
      </c>
      <c r="BH146" s="448">
        <f t="shared" si="255"/>
        <v>25.604792320000001</v>
      </c>
      <c r="BI146" s="448">
        <f t="shared" si="256"/>
        <v>95.18</v>
      </c>
      <c r="BJ146" s="448">
        <f t="shared" si="257"/>
        <v>1133.0999999999999</v>
      </c>
      <c r="BK146" s="448">
        <f t="shared" si="258"/>
        <v>226.40107</v>
      </c>
      <c r="BL146" s="448">
        <f t="shared" si="259"/>
        <v>301.95869000000005</v>
      </c>
      <c r="BM146" s="448">
        <f t="shared" si="260"/>
        <v>83.315593759999999</v>
      </c>
      <c r="BN146" s="448">
        <f t="shared" si="261"/>
        <v>111.12079792000002</v>
      </c>
      <c r="BO146" s="448">
        <f t="shared" si="262"/>
        <v>116.86969999999999</v>
      </c>
      <c r="BP146" s="448"/>
      <c r="BQ146" s="448">
        <f t="shared" si="263"/>
        <v>839.66</v>
      </c>
      <c r="BR146" s="448">
        <f t="shared" si="264"/>
        <v>1972.76</v>
      </c>
      <c r="BS146" s="448">
        <f t="shared" si="265"/>
        <v>288.66000000000003</v>
      </c>
      <c r="BT146" s="448">
        <f t="shared" si="265"/>
        <v>346.26</v>
      </c>
      <c r="BU146" s="448">
        <f t="shared" si="266"/>
        <v>303.65819211000002</v>
      </c>
      <c r="BV146" s="448">
        <f t="shared" si="267"/>
        <v>50.295634</v>
      </c>
      <c r="BW146" s="448">
        <f t="shared" si="268"/>
        <v>353.95382611000002</v>
      </c>
      <c r="BX146" s="448">
        <f t="shared" si="269"/>
        <v>988.8738261100001</v>
      </c>
      <c r="BY146" s="448">
        <f t="shared" si="270"/>
        <v>5423.3727261100003</v>
      </c>
      <c r="BZ146" s="448">
        <f t="shared" si="271"/>
        <v>839.66</v>
      </c>
      <c r="CA146" s="448">
        <f t="shared" si="272"/>
        <v>6263.0327261100001</v>
      </c>
      <c r="CB146" s="449"/>
    </row>
    <row r="147" spans="1:80" s="480" customFormat="1" ht="15.75" customHeight="1">
      <c r="A147" s="462"/>
      <c r="B147" s="462"/>
      <c r="C147" s="462" t="s">
        <v>3910</v>
      </c>
      <c r="D147" s="463"/>
      <c r="E147" s="464"/>
      <c r="F147" s="465"/>
      <c r="G147" s="466"/>
      <c r="H147" s="467"/>
      <c r="I147" s="462"/>
      <c r="J147" s="468"/>
      <c r="K147" s="462"/>
      <c r="L147" s="469"/>
      <c r="M147" s="469"/>
      <c r="N147" s="468"/>
      <c r="O147" s="468"/>
      <c r="P147" s="468"/>
      <c r="Q147" s="470"/>
      <c r="R147" s="470"/>
      <c r="S147" s="470"/>
      <c r="T147" s="470"/>
      <c r="U147" s="470"/>
      <c r="V147" s="470"/>
      <c r="W147" s="470"/>
      <c r="X147" s="470"/>
      <c r="Y147" s="471"/>
      <c r="Z147" s="472"/>
      <c r="AA147" s="473"/>
      <c r="AB147" s="474"/>
      <c r="AC147" s="475"/>
      <c r="AD147" s="476"/>
      <c r="AE147" s="476"/>
      <c r="AF147" s="478">
        <f t="shared" ref="AF147:BZ147" si="273">SUBTOTAL(9,AF141:AF146)</f>
        <v>677.4</v>
      </c>
      <c r="AG147" s="477">
        <f t="shared" si="273"/>
        <v>1338.3630000000001</v>
      </c>
      <c r="AH147" s="477">
        <f t="shared" si="273"/>
        <v>111.17040000000003</v>
      </c>
      <c r="AI147" s="477">
        <f t="shared" si="273"/>
        <v>546.48</v>
      </c>
      <c r="AJ147" s="477">
        <f t="shared" si="273"/>
        <v>102.18</v>
      </c>
      <c r="AK147" s="477">
        <f t="shared" si="273"/>
        <v>0</v>
      </c>
      <c r="AL147" s="477">
        <f t="shared" si="273"/>
        <v>0</v>
      </c>
      <c r="AM147" s="477">
        <f t="shared" si="273"/>
        <v>0</v>
      </c>
      <c r="AN147" s="477">
        <f t="shared" si="273"/>
        <v>0</v>
      </c>
      <c r="AO147" s="477">
        <f t="shared" si="273"/>
        <v>2775.5934000000002</v>
      </c>
      <c r="AP147" s="477">
        <f t="shared" si="273"/>
        <v>374.21999999999997</v>
      </c>
      <c r="AQ147" s="477">
        <f t="shared" si="273"/>
        <v>0</v>
      </c>
      <c r="AR147" s="477">
        <f t="shared" si="273"/>
        <v>351.17999999999995</v>
      </c>
      <c r="AS147" s="477">
        <f t="shared" si="273"/>
        <v>0</v>
      </c>
      <c r="AT147" s="477">
        <f t="shared" si="273"/>
        <v>725.4</v>
      </c>
      <c r="AU147" s="477">
        <f t="shared" si="273"/>
        <v>5677.2684800000006</v>
      </c>
      <c r="AV147" s="477">
        <f t="shared" si="273"/>
        <v>27.769248000000005</v>
      </c>
      <c r="AW147" s="477">
        <f t="shared" si="273"/>
        <v>77.136800000000008</v>
      </c>
      <c r="AX147" s="477">
        <f t="shared" si="273"/>
        <v>6.1709440000000004</v>
      </c>
      <c r="AY147" s="477">
        <f t="shared" si="273"/>
        <v>3.0854720000000002</v>
      </c>
      <c r="AZ147" s="477">
        <f t="shared" si="273"/>
        <v>53.995760000000004</v>
      </c>
      <c r="BA147" s="477">
        <f t="shared" si="273"/>
        <v>19.87043968</v>
      </c>
      <c r="BB147" s="477">
        <f t="shared" si="273"/>
        <v>26.226511999999996</v>
      </c>
      <c r="BC147" s="477">
        <f t="shared" si="273"/>
        <v>186.45999999999998</v>
      </c>
      <c r="BD147" s="477">
        <f t="shared" si="273"/>
        <v>214.44030399999997</v>
      </c>
      <c r="BE147" s="477">
        <f t="shared" si="273"/>
        <v>129.58982399999999</v>
      </c>
      <c r="BF147" s="477">
        <f t="shared" si="273"/>
        <v>50.910288000000008</v>
      </c>
      <c r="BG147" s="477">
        <f t="shared" si="273"/>
        <v>0</v>
      </c>
      <c r="BH147" s="477">
        <f t="shared" si="273"/>
        <v>145.33807308800002</v>
      </c>
      <c r="BI147" s="477">
        <f t="shared" si="273"/>
        <v>540.26</v>
      </c>
      <c r="BJ147" s="477">
        <f t="shared" si="273"/>
        <v>6431.7200000000012</v>
      </c>
      <c r="BK147" s="477">
        <f t="shared" si="273"/>
        <v>1285.0990879999999</v>
      </c>
      <c r="BL147" s="477">
        <f t="shared" si="273"/>
        <v>1713.9796959999999</v>
      </c>
      <c r="BM147" s="477">
        <f t="shared" si="273"/>
        <v>472.91646438400005</v>
      </c>
      <c r="BN147" s="477">
        <f t="shared" si="273"/>
        <v>630.74452812800007</v>
      </c>
      <c r="BO147" s="477">
        <f t="shared" si="273"/>
        <v>663.3764799999999</v>
      </c>
      <c r="BP147" s="477">
        <f t="shared" si="273"/>
        <v>0</v>
      </c>
      <c r="BQ147" s="477">
        <f t="shared" si="273"/>
        <v>4766.08</v>
      </c>
      <c r="BR147" s="477">
        <f t="shared" si="273"/>
        <v>11197.800000000001</v>
      </c>
      <c r="BS147" s="477">
        <f t="shared" si="273"/>
        <v>1731.9600000000003</v>
      </c>
      <c r="BT147" s="477">
        <f t="shared" si="273"/>
        <v>2077.56</v>
      </c>
      <c r="BU147" s="477">
        <f t="shared" si="273"/>
        <v>1747.2586446600003</v>
      </c>
      <c r="BV147" s="477">
        <f t="shared" si="273"/>
        <v>285.48819200000003</v>
      </c>
      <c r="BW147" s="477">
        <f t="shared" si="273"/>
        <v>2032.7468366600006</v>
      </c>
      <c r="BX147" s="477">
        <f t="shared" si="273"/>
        <v>5842.2668366600001</v>
      </c>
      <c r="BY147" s="477">
        <f t="shared" si="273"/>
        <v>31202.340236659998</v>
      </c>
      <c r="BZ147" s="477">
        <f t="shared" si="273"/>
        <v>4766.08</v>
      </c>
      <c r="CA147" s="477">
        <f>SUBTOTAL(9,CA141:CA146)</f>
        <v>35968.42023666</v>
      </c>
      <c r="CB147" s="479"/>
    </row>
    <row r="148" spans="1:80" s="450" customFormat="1" ht="15.75" customHeight="1">
      <c r="A148" s="435">
        <v>1</v>
      </c>
      <c r="B148" s="435">
        <v>1</v>
      </c>
      <c r="C148" s="435" t="s">
        <v>3846</v>
      </c>
      <c r="D148" s="436">
        <f>VLOOKUP(C148,ISS!A:B,2,0)</f>
        <v>0.03</v>
      </c>
      <c r="E148" s="437">
        <f>IF(D148=2%,5.99%,IF(D148=2.5%,6.55%,IF(D148=3%,7.12%,IF(D148=3.5%,7.7%,IF(D148=4%,8.28%,IF(D148=5%,9.46%))))))</f>
        <v>7.1199999999999999E-2</v>
      </c>
      <c r="F148" s="438">
        <v>102</v>
      </c>
      <c r="G148" s="439">
        <v>12442</v>
      </c>
      <c r="H148" s="440" t="s">
        <v>4037</v>
      </c>
      <c r="I148" s="435" t="s">
        <v>3849</v>
      </c>
      <c r="J148" s="102" t="s">
        <v>3521</v>
      </c>
      <c r="K148" s="435" t="str">
        <f>CONCATENATE(C148,I148)</f>
        <v>VarginhaVIGILANTE ARMADO - 220 H</v>
      </c>
      <c r="L148" s="441" t="s">
        <v>3875</v>
      </c>
      <c r="M148" s="441"/>
      <c r="N148" s="102"/>
      <c r="O148" s="102"/>
      <c r="P148" s="102"/>
      <c r="Q148" s="442">
        <f>VLOOKUP('BANCO DADOS-CUSTO TOTAL'!$K148,PARAMETROS!$E:AX,3,0)</f>
        <v>1602.86</v>
      </c>
      <c r="R148" s="442">
        <f>VLOOKUP('BANCO DADOS-CUSTO TOTAL'!$K148,PARAMETROS!$E:AY,4,0)</f>
        <v>0</v>
      </c>
      <c r="S148" s="442">
        <f>VLOOKUP('BANCO DADOS-CUSTO TOTAL'!$K148,PARAMETROS!$E:AZ,5,0)</f>
        <v>480.85799999999995</v>
      </c>
      <c r="T148" s="442">
        <f>VLOOKUP('BANCO DADOS-CUSTO TOTAL'!$K148,PARAMETROS!$E:BA,6,0)</f>
        <v>0</v>
      </c>
      <c r="U148" s="442">
        <f>VLOOKUP('BANCO DADOS-CUSTO TOTAL'!$K148,PARAMETROS!$E:BB,7,0)</f>
        <v>0</v>
      </c>
      <c r="V148" s="442">
        <f>VLOOKUP('BANCO DADOS-CUSTO TOTAL'!$K148,PARAMETROS!$E:BC,8,0)</f>
        <v>0</v>
      </c>
      <c r="W148" s="442">
        <f>VLOOKUP('BANCO DADOS-CUSTO TOTAL'!$K148,PARAMETROS!$E:BD,9,0)</f>
        <v>189.42890909090909</v>
      </c>
      <c r="X148" s="442">
        <f>VLOOKUP('BANCO DADOS-CUSTO TOTAL'!$K148,PARAMETROS!$E:BE,10,0)</f>
        <v>13.891453333333336</v>
      </c>
      <c r="Y148" s="443">
        <f>TRUNC(SUM(Q148:X148),2)</f>
        <v>2287.0300000000002</v>
      </c>
      <c r="Z148" s="456"/>
      <c r="AA148" s="444">
        <v>30</v>
      </c>
      <c r="AB148" s="445">
        <f>IF(J148="EFETIVO",IF(AND(L148="",M148=""),$M$5,IF(AND(L148&lt;&gt;"",M148&lt;&gt;"",MONTH(L148)=MONTH(M148),YEAR(L148)=YEAR(M148)),M148-L148+1,IF(AND(L148&lt;&gt;"",M148&lt;&gt;"",MONTH(L148)&lt;&gt;MONTH(M148)),DAY(M148),IF(AND(L148="",M148&lt;&gt;"",MONTH($H$5)=MONTH(M148),YEAR(M148)=YEAR($H$5)),M148-$K$5+1,IF(AND(L148&lt;&gt;"",M148="",MONTH($K$5)=MONTH(L148),YEAR($K$5)=YEAR(L148)),30-DAY(L148)+1,$M$5))))),0)</f>
        <v>30</v>
      </c>
      <c r="AC148" s="446">
        <f>(Y148/30)*(AA148-Z148)</f>
        <v>2287.0300000000002</v>
      </c>
      <c r="AD148" s="447">
        <f>Y148</f>
        <v>2287.0300000000002</v>
      </c>
      <c r="AE148" s="447">
        <f>IF(AND(J148="EFETIVO",N148="FÉRIAS"),AD148,IF(J148="EFETIVO",AC148,0))</f>
        <v>2287.0300000000002</v>
      </c>
      <c r="AF148" s="443">
        <f>IF(J148="EFETIVO",VLOOKUP(K148,PARAMETROS!$E:AX,11,0),0)</f>
        <v>112.9</v>
      </c>
      <c r="AG148" s="443">
        <f>VLOOKUP(H148,'VA E VT - APOIO.LIMPEZA'!F:AX,14,0)</f>
        <v>287.82</v>
      </c>
      <c r="AH148" s="443">
        <f>VLOOKUP($H148,'VA E VT - APOIO.LIMPEZA'!$F:AY,20,0)</f>
        <v>51.828400000000002</v>
      </c>
      <c r="AI148" s="443">
        <f>IF($J148="EFETIVO",VLOOKUP($K148,PARAMETROS!$E:BA,14,0),0)</f>
        <v>91.08</v>
      </c>
      <c r="AJ148" s="443">
        <f>IF($J148="EFETIVO",VLOOKUP($K148,PARAMETROS!$E:BB,15,0),0)</f>
        <v>17.03</v>
      </c>
      <c r="AK148" s="443"/>
      <c r="AL148" s="443"/>
      <c r="AM148" s="443"/>
      <c r="AN148" s="443"/>
      <c r="AO148" s="448">
        <f>SUM(AF148:AN148)</f>
        <v>560.65840000000003</v>
      </c>
      <c r="AP148" s="443">
        <f>IF($J148="EFETIVO",VLOOKUP($K148,PARAMETROS!$E:BH,20,0),0)</f>
        <v>62.37</v>
      </c>
      <c r="AQ148" s="446"/>
      <c r="AR148" s="443">
        <f>IF($J148="EFETIVO",VLOOKUP($K148,PARAMETROS!$E:BJ,22,0),0)</f>
        <v>58.53</v>
      </c>
      <c r="AS148" s="446"/>
      <c r="AT148" s="448">
        <f>(AP148+AQ148+AR148+AS148)</f>
        <v>120.9</v>
      </c>
      <c r="AU148" s="448">
        <f>$AU$10*AC148</f>
        <v>841.62704000000008</v>
      </c>
      <c r="AV148" s="448">
        <f t="shared" ref="AV148:BB148" si="274">IF($J148="EFETIVO",$Y148*AV$10,0)</f>
        <v>4.1166540000000005</v>
      </c>
      <c r="AW148" s="448">
        <f t="shared" si="274"/>
        <v>11.435150000000002</v>
      </c>
      <c r="AX148" s="448">
        <f t="shared" si="274"/>
        <v>0.91481200000000007</v>
      </c>
      <c r="AY148" s="448">
        <f t="shared" si="274"/>
        <v>0.45740600000000003</v>
      </c>
      <c r="AZ148" s="448">
        <f t="shared" si="274"/>
        <v>8.0046050000000015</v>
      </c>
      <c r="BA148" s="448">
        <f t="shared" si="274"/>
        <v>2.9456946400000006</v>
      </c>
      <c r="BB148" s="448">
        <f t="shared" si="274"/>
        <v>3.8879510000000002</v>
      </c>
      <c r="BC148" s="448">
        <f>TRUNC(SUM(AW148:BB148),2)</f>
        <v>27.64</v>
      </c>
      <c r="BD148" s="448">
        <f>IF($J148="EFETIVO",$Y148*BD$10,0)</f>
        <v>31.789717</v>
      </c>
      <c r="BE148" s="448">
        <f>IF($J148="EFETIVO",$Y148*BE$10,0)</f>
        <v>19.211052000000002</v>
      </c>
      <c r="BF148" s="448">
        <f>IF($J148="EFETIVO",$Y148*BF$10,0)</f>
        <v>7.5471990000000009</v>
      </c>
      <c r="BG148" s="448">
        <f>IF($J148="EFETIVO",$Y148*BG$10,0)</f>
        <v>0</v>
      </c>
      <c r="BH148" s="448">
        <f>IF($J148="EFETIVO",$Y148*BH$10,0)</f>
        <v>21.545652224000001</v>
      </c>
      <c r="BI148" s="448">
        <f>TRUNC(SUM(BD148:BH148),2)</f>
        <v>80.09</v>
      </c>
      <c r="BJ148" s="448">
        <f>TRUNC((BI148+BC148+AV148+AU148),2)</f>
        <v>953.47</v>
      </c>
      <c r="BK148" s="448">
        <f>IF($N148="FÉRIAS",$AD148*$BK$10,IF($AB148&gt;=15,$AD148*$BK$10,0))</f>
        <v>190.50959900000001</v>
      </c>
      <c r="BL148" s="448">
        <f>IF($N148="FÉRIAS",$AD148*$BL$10,IF($AB148&gt;=15,$AD148*$BL$10,0))</f>
        <v>254.08903300000003</v>
      </c>
      <c r="BM148" s="448">
        <f>$BM$10*BK148</f>
        <v>70.107532431999999</v>
      </c>
      <c r="BN148" s="448">
        <f>$BN$10*BL148</f>
        <v>93.504764144000006</v>
      </c>
      <c r="BO148" s="448">
        <f>$BO$10*AE148</f>
        <v>98.342290000000006</v>
      </c>
      <c r="BP148" s="448"/>
      <c r="BQ148" s="448">
        <f>TRUNC(SUM(BK148:BP148),2)</f>
        <v>706.55</v>
      </c>
      <c r="BR148" s="448">
        <f>TRUNC((BJ148+BQ148),2)</f>
        <v>1660.02</v>
      </c>
      <c r="BS148" s="448">
        <f>IF($J148="EFETIVO",BS$10,0)</f>
        <v>288.66000000000003</v>
      </c>
      <c r="BT148" s="448">
        <f>IF($J148="EFETIVO",BT$10,0)</f>
        <v>346.26</v>
      </c>
      <c r="BU148" s="448">
        <f>((AC148+AO148+AT148+BJ148+BS148+BT148)*E148)</f>
        <v>324.45686208000001</v>
      </c>
      <c r="BV148" s="448">
        <f>BQ148*E148</f>
        <v>50.306359999999998</v>
      </c>
      <c r="BW148" s="448">
        <f>SUM(BU148:BV148)</f>
        <v>374.76322207999999</v>
      </c>
      <c r="BX148" s="448">
        <f>BS148+BT148+BW148</f>
        <v>1009.6832220800001</v>
      </c>
      <c r="BY148" s="448">
        <f>(AC148+AO148+AT148+BJ148+BX148)</f>
        <v>4931.7416220799996</v>
      </c>
      <c r="BZ148" s="448">
        <f>BQ148</f>
        <v>706.55</v>
      </c>
      <c r="CA148" s="448">
        <f>BY148+BZ148</f>
        <v>5638.2916220799998</v>
      </c>
      <c r="CB148" s="449"/>
    </row>
    <row r="149" spans="1:80" s="480" customFormat="1" ht="15.75" customHeight="1">
      <c r="A149" s="462"/>
      <c r="B149" s="462"/>
      <c r="C149" s="462" t="s">
        <v>3911</v>
      </c>
      <c r="D149" s="463"/>
      <c r="E149" s="464"/>
      <c r="F149" s="465"/>
      <c r="G149" s="466"/>
      <c r="H149" s="467"/>
      <c r="I149" s="462"/>
      <c r="J149" s="468"/>
      <c r="K149" s="462"/>
      <c r="L149" s="469"/>
      <c r="M149" s="469"/>
      <c r="N149" s="468"/>
      <c r="O149" s="468"/>
      <c r="P149" s="468"/>
      <c r="Q149" s="470"/>
      <c r="R149" s="470"/>
      <c r="S149" s="470"/>
      <c r="T149" s="470"/>
      <c r="U149" s="470"/>
      <c r="V149" s="470"/>
      <c r="W149" s="470"/>
      <c r="X149" s="470"/>
      <c r="Y149" s="471"/>
      <c r="Z149" s="472"/>
      <c r="AA149" s="473"/>
      <c r="AB149" s="474"/>
      <c r="AC149" s="475"/>
      <c r="AD149" s="476"/>
      <c r="AE149" s="470"/>
      <c r="AF149" s="477">
        <f t="shared" ref="AF149:BZ149" si="275">SUBTOTAL(9,AF148)</f>
        <v>112.9</v>
      </c>
      <c r="AG149" s="477">
        <f t="shared" si="275"/>
        <v>287.82</v>
      </c>
      <c r="AH149" s="477">
        <f t="shared" si="275"/>
        <v>51.828400000000002</v>
      </c>
      <c r="AI149" s="477">
        <f t="shared" si="275"/>
        <v>91.08</v>
      </c>
      <c r="AJ149" s="477">
        <f t="shared" si="275"/>
        <v>17.03</v>
      </c>
      <c r="AK149" s="477">
        <f t="shared" si="275"/>
        <v>0</v>
      </c>
      <c r="AL149" s="477">
        <f t="shared" si="275"/>
        <v>0</v>
      </c>
      <c r="AM149" s="477">
        <f t="shared" si="275"/>
        <v>0</v>
      </c>
      <c r="AN149" s="477">
        <f t="shared" si="275"/>
        <v>0</v>
      </c>
      <c r="AO149" s="477">
        <f t="shared" si="275"/>
        <v>560.65840000000003</v>
      </c>
      <c r="AP149" s="477">
        <f t="shared" si="275"/>
        <v>62.37</v>
      </c>
      <c r="AQ149" s="477">
        <f t="shared" si="275"/>
        <v>0</v>
      </c>
      <c r="AR149" s="477">
        <f t="shared" si="275"/>
        <v>58.53</v>
      </c>
      <c r="AS149" s="477">
        <f t="shared" si="275"/>
        <v>0</v>
      </c>
      <c r="AT149" s="477">
        <f t="shared" si="275"/>
        <v>120.9</v>
      </c>
      <c r="AU149" s="477">
        <f t="shared" si="275"/>
        <v>841.62704000000008</v>
      </c>
      <c r="AV149" s="477">
        <f t="shared" si="275"/>
        <v>4.1166540000000005</v>
      </c>
      <c r="AW149" s="477">
        <f t="shared" si="275"/>
        <v>11.435150000000002</v>
      </c>
      <c r="AX149" s="477">
        <f t="shared" si="275"/>
        <v>0.91481200000000007</v>
      </c>
      <c r="AY149" s="477">
        <f t="shared" si="275"/>
        <v>0.45740600000000003</v>
      </c>
      <c r="AZ149" s="477">
        <f t="shared" si="275"/>
        <v>8.0046050000000015</v>
      </c>
      <c r="BA149" s="477">
        <f t="shared" si="275"/>
        <v>2.9456946400000006</v>
      </c>
      <c r="BB149" s="477">
        <f t="shared" si="275"/>
        <v>3.8879510000000002</v>
      </c>
      <c r="BC149" s="477">
        <f t="shared" si="275"/>
        <v>27.64</v>
      </c>
      <c r="BD149" s="477">
        <f t="shared" si="275"/>
        <v>31.789717</v>
      </c>
      <c r="BE149" s="477">
        <f t="shared" si="275"/>
        <v>19.211052000000002</v>
      </c>
      <c r="BF149" s="477">
        <f t="shared" si="275"/>
        <v>7.5471990000000009</v>
      </c>
      <c r="BG149" s="477">
        <f t="shared" si="275"/>
        <v>0</v>
      </c>
      <c r="BH149" s="477">
        <f t="shared" si="275"/>
        <v>21.545652224000001</v>
      </c>
      <c r="BI149" s="477">
        <f t="shared" si="275"/>
        <v>80.09</v>
      </c>
      <c r="BJ149" s="477">
        <f t="shared" si="275"/>
        <v>953.47</v>
      </c>
      <c r="BK149" s="477">
        <f t="shared" si="275"/>
        <v>190.50959900000001</v>
      </c>
      <c r="BL149" s="477">
        <f t="shared" si="275"/>
        <v>254.08903300000003</v>
      </c>
      <c r="BM149" s="477">
        <f t="shared" si="275"/>
        <v>70.107532431999999</v>
      </c>
      <c r="BN149" s="477">
        <f t="shared" si="275"/>
        <v>93.504764144000006</v>
      </c>
      <c r="BO149" s="477">
        <f t="shared" si="275"/>
        <v>98.342290000000006</v>
      </c>
      <c r="BP149" s="477">
        <f t="shared" si="275"/>
        <v>0</v>
      </c>
      <c r="BQ149" s="477">
        <f t="shared" si="275"/>
        <v>706.55</v>
      </c>
      <c r="BR149" s="477">
        <f t="shared" si="275"/>
        <v>1660.02</v>
      </c>
      <c r="BS149" s="477">
        <f t="shared" si="275"/>
        <v>288.66000000000003</v>
      </c>
      <c r="BT149" s="477">
        <f t="shared" si="275"/>
        <v>346.26</v>
      </c>
      <c r="BU149" s="477">
        <f t="shared" si="275"/>
        <v>324.45686208000001</v>
      </c>
      <c r="BV149" s="477">
        <f t="shared" si="275"/>
        <v>50.306359999999998</v>
      </c>
      <c r="BW149" s="477">
        <f t="shared" si="275"/>
        <v>374.76322207999999</v>
      </c>
      <c r="BX149" s="477">
        <f t="shared" si="275"/>
        <v>1009.6832220800001</v>
      </c>
      <c r="BY149" s="477">
        <f t="shared" si="275"/>
        <v>4931.7416220799996</v>
      </c>
      <c r="BZ149" s="477">
        <f t="shared" si="275"/>
        <v>706.55</v>
      </c>
      <c r="CA149" s="477">
        <f>SUBTOTAL(9,CA148)</f>
        <v>5638.2916220799998</v>
      </c>
      <c r="CB149" s="479"/>
    </row>
    <row r="150" spans="1:80" s="450" customFormat="1" ht="15.75" customHeight="1">
      <c r="A150" s="435">
        <v>1</v>
      </c>
      <c r="B150" s="435">
        <v>1</v>
      </c>
      <c r="C150" s="435" t="s">
        <v>3286</v>
      </c>
      <c r="D150" s="436">
        <f>VLOOKUP(C150,ISS!A:B,2,0)</f>
        <v>0.03</v>
      </c>
      <c r="E150" s="437">
        <f>IF(D150=2%,5.99%,IF(D150=2.5%,6.55%,IF(D150=3%,7.12%,IF(D150=3.5%,7.7%,IF(D150=4%,8.28%,IF(D150=5%,9.46%))))))</f>
        <v>7.1199999999999999E-2</v>
      </c>
      <c r="F150" s="438">
        <v>103</v>
      </c>
      <c r="G150" s="439">
        <v>12443</v>
      </c>
      <c r="H150" s="440" t="s">
        <v>4038</v>
      </c>
      <c r="I150" s="435" t="s">
        <v>3848</v>
      </c>
      <c r="J150" s="102" t="s">
        <v>3521</v>
      </c>
      <c r="K150" s="435" t="str">
        <f>CONCATENATE(C150,I150)</f>
        <v>VespasianoVIGILANTE ARMADO - 12X36 DIURNO</v>
      </c>
      <c r="L150" s="441" t="s">
        <v>3875</v>
      </c>
      <c r="M150" s="441"/>
      <c r="N150" s="102"/>
      <c r="O150" s="102"/>
      <c r="P150" s="102"/>
      <c r="Q150" s="442">
        <f>VLOOKUP('BANCO DADOS-CUSTO TOTAL'!$K150,PARAMETROS!$E:AX,3,0)</f>
        <v>1602.86</v>
      </c>
      <c r="R150" s="442">
        <f>VLOOKUP('BANCO DADOS-CUSTO TOTAL'!$K150,PARAMETROS!$E:AY,4,0)</f>
        <v>0</v>
      </c>
      <c r="S150" s="442">
        <f>VLOOKUP('BANCO DADOS-CUSTO TOTAL'!$K150,PARAMETROS!$E:AZ,5,0)</f>
        <v>480.85799999999995</v>
      </c>
      <c r="T150" s="442">
        <f>VLOOKUP('BANCO DADOS-CUSTO TOTAL'!$K150,PARAMETROS!$E:BA,6,0)</f>
        <v>0</v>
      </c>
      <c r="U150" s="442">
        <f>VLOOKUP('BANCO DADOS-CUSTO TOTAL'!$K150,PARAMETROS!$E:BB,7,0)</f>
        <v>0</v>
      </c>
      <c r="V150" s="442">
        <f>VLOOKUP('BANCO DADOS-CUSTO TOTAL'!$K150,PARAMETROS!$E:BC,8,0)</f>
        <v>0</v>
      </c>
      <c r="W150" s="442">
        <f>VLOOKUP('BANCO DADOS-CUSTO TOTAL'!$K150,PARAMETROS!$E:BD,9,0)</f>
        <v>146.80740454545455</v>
      </c>
      <c r="X150" s="442">
        <f>VLOOKUP('BANCO DADOS-CUSTO TOTAL'!$K150,PARAMETROS!$E:BE,10,0)</f>
        <v>47.357227272727279</v>
      </c>
      <c r="Y150" s="443">
        <f t="shared" ref="Y150:Y151" si="276">TRUNC(SUM(Q150:X150),2)</f>
        <v>2277.88</v>
      </c>
      <c r="Z150" s="456"/>
      <c r="AA150" s="444">
        <v>30</v>
      </c>
      <c r="AB150" s="445">
        <f>IF(J150="EFETIVO",IF(AND(L150="",M150=""),$M$5,IF(AND(L150&lt;&gt;"",M150&lt;&gt;"",MONTH(L150)=MONTH(M150),YEAR(L150)=YEAR(M150)),M150-L150+1,IF(AND(L150&lt;&gt;"",M150&lt;&gt;"",MONTH(L150)&lt;&gt;MONTH(M150)),DAY(M150),IF(AND(L150="",M150&lt;&gt;"",MONTH($H$5)=MONTH(M150),YEAR(M150)=YEAR($H$5)),M150-$K$5+1,IF(AND(L150&lt;&gt;"",M150="",MONTH($K$5)=MONTH(L150),YEAR($K$5)=YEAR(L150)),30-DAY(L150)+1,$M$5))))),0)</f>
        <v>30</v>
      </c>
      <c r="AC150" s="446">
        <f>(Y150/30)*(AA150-Z150)</f>
        <v>2277.88</v>
      </c>
      <c r="AD150" s="447">
        <f>Y150</f>
        <v>2277.88</v>
      </c>
      <c r="AE150" s="447">
        <f>IF(AND(J150="EFETIVO",N150="FÉRIAS"),AD150,IF(J150="EFETIVO",AC150,0))</f>
        <v>2277.88</v>
      </c>
      <c r="AF150" s="443">
        <f>IF(J150="EFETIVO",VLOOKUP(K150,PARAMETROS!$E:AX,11,0),0)</f>
        <v>112.9</v>
      </c>
      <c r="AG150" s="443">
        <f>VLOOKUP(H150,'VA E VT - APOIO.LIMPEZA'!F:AX,14,0)</f>
        <v>223.06049999999999</v>
      </c>
      <c r="AH150" s="443">
        <f>VLOOKUP($H150,'VA E VT - APOIO.LIMPEZA'!$F:AY,20,0)</f>
        <v>18.528400000000005</v>
      </c>
      <c r="AI150" s="443">
        <f>IF($J150="EFETIVO",VLOOKUP($K150,PARAMETROS!$E:BA,14,0),0)</f>
        <v>91.08</v>
      </c>
      <c r="AJ150" s="443">
        <f>IF($J150="EFETIVO",VLOOKUP($K150,PARAMETROS!$E:BB,15,0),0)</f>
        <v>17.03</v>
      </c>
      <c r="AK150" s="443"/>
      <c r="AL150" s="443"/>
      <c r="AM150" s="443"/>
      <c r="AN150" s="443"/>
      <c r="AO150" s="448">
        <f t="shared" ref="AO150:AO151" si="277">SUM(AF150:AN150)</f>
        <v>462.59890000000007</v>
      </c>
      <c r="AP150" s="443">
        <f>IF($J150="EFETIVO",VLOOKUP($K150,PARAMETROS!$E:BH,20,0),0)</f>
        <v>62.37</v>
      </c>
      <c r="AQ150" s="446"/>
      <c r="AR150" s="443">
        <f>IF($J150="EFETIVO",VLOOKUP($K150,PARAMETROS!$E:BJ,22,0),0)</f>
        <v>58.53</v>
      </c>
      <c r="AS150" s="446"/>
      <c r="AT150" s="448">
        <f t="shared" ref="AT150:AT151" si="278">(AP150+AQ150+AR150+AS150)</f>
        <v>120.9</v>
      </c>
      <c r="AU150" s="448">
        <f>$AU$10*AC150</f>
        <v>838.25984000000005</v>
      </c>
      <c r="AV150" s="448">
        <f t="shared" ref="AV150:BB151" si="279">IF($J150="EFETIVO",$Y150*AV$10,0)</f>
        <v>4.1001840000000005</v>
      </c>
      <c r="AW150" s="448">
        <f t="shared" si="279"/>
        <v>11.3894</v>
      </c>
      <c r="AX150" s="448">
        <f t="shared" si="279"/>
        <v>0.91115200000000007</v>
      </c>
      <c r="AY150" s="448">
        <f t="shared" si="279"/>
        <v>0.45557600000000004</v>
      </c>
      <c r="AZ150" s="448">
        <f t="shared" si="279"/>
        <v>7.9725800000000007</v>
      </c>
      <c r="BA150" s="448">
        <f t="shared" si="279"/>
        <v>2.9339094400000003</v>
      </c>
      <c r="BB150" s="448">
        <f t="shared" si="279"/>
        <v>3.8723960000000002</v>
      </c>
      <c r="BC150" s="448">
        <f t="shared" ref="BC150:BC151" si="280">TRUNC(SUM(AW150:BB150),2)</f>
        <v>27.53</v>
      </c>
      <c r="BD150" s="448">
        <f t="shared" ref="BD150:BH151" si="281">IF($J150="EFETIVO",$Y150*BD$10,0)</f>
        <v>31.662531999999999</v>
      </c>
      <c r="BE150" s="448">
        <f t="shared" si="281"/>
        <v>19.134191999999999</v>
      </c>
      <c r="BF150" s="448">
        <f t="shared" si="281"/>
        <v>7.517004</v>
      </c>
      <c r="BG150" s="448">
        <f t="shared" si="281"/>
        <v>0</v>
      </c>
      <c r="BH150" s="448">
        <f t="shared" si="281"/>
        <v>21.459451904000002</v>
      </c>
      <c r="BI150" s="448">
        <f t="shared" ref="BI150:BI151" si="282">TRUNC(SUM(BD150:BH150),2)</f>
        <v>79.77</v>
      </c>
      <c r="BJ150" s="448">
        <f t="shared" ref="BJ150:BJ151" si="283">TRUNC((BI150+BC150+AV150+AU150),2)</f>
        <v>949.66</v>
      </c>
      <c r="BK150" s="448">
        <f>IF($N150="FÉRIAS",$AD150*$BK$10,IF($AB150&gt;=15,$AD150*$BK$10,0))</f>
        <v>189.74740400000002</v>
      </c>
      <c r="BL150" s="448">
        <f>IF($N150="FÉRIAS",$AD150*$BL$10,IF($AB150&gt;=15,$AD150*$BL$10,0))</f>
        <v>253.07246800000001</v>
      </c>
      <c r="BM150" s="448">
        <f>$BM$10*BK150</f>
        <v>69.827044672</v>
      </c>
      <c r="BN150" s="448">
        <f>$BN$10*BL150</f>
        <v>93.130668224000004</v>
      </c>
      <c r="BO150" s="448">
        <f>$BO$10*AE150</f>
        <v>97.94883999999999</v>
      </c>
      <c r="BP150" s="448"/>
      <c r="BQ150" s="448">
        <f t="shared" ref="BQ150:BQ151" si="284">TRUNC(SUM(BK150:BP150),2)</f>
        <v>703.72</v>
      </c>
      <c r="BR150" s="448">
        <f t="shared" ref="BR150:BR151" si="285">TRUNC((BJ150+BQ150),2)</f>
        <v>1653.38</v>
      </c>
      <c r="BS150" s="448">
        <f>IF($J150="EFETIVO",BS$10,0)</f>
        <v>288.66000000000003</v>
      </c>
      <c r="BT150" s="448">
        <f>IF($J150="EFETIVO",BT$10,0)</f>
        <v>346.26</v>
      </c>
      <c r="BU150" s="448">
        <f>((AC150+AO150+AT150+BJ150+BS150+BT150)*E150)</f>
        <v>316.55227368000004</v>
      </c>
      <c r="BV150" s="448">
        <f>BQ150*E150</f>
        <v>50.104863999999999</v>
      </c>
      <c r="BW150" s="448">
        <f>SUM(BU150:BV150)</f>
        <v>366.65713768000006</v>
      </c>
      <c r="BX150" s="448">
        <f>BS150+BT150+BW150</f>
        <v>1001.5771376800001</v>
      </c>
      <c r="BY150" s="448">
        <f t="shared" ref="BY150:BY151" si="286">(AC150+AO150+AT150+BJ150+BX150)</f>
        <v>4812.6160376799999</v>
      </c>
      <c r="BZ150" s="448">
        <f>BQ150</f>
        <v>703.72</v>
      </c>
      <c r="CA150" s="448">
        <f>BY150+BZ150</f>
        <v>5516.3360376800001</v>
      </c>
      <c r="CB150" s="449"/>
    </row>
    <row r="151" spans="1:80" s="450" customFormat="1" ht="15.75" customHeight="1">
      <c r="A151" s="435">
        <v>1</v>
      </c>
      <c r="B151" s="435">
        <v>1</v>
      </c>
      <c r="C151" s="435" t="s">
        <v>3286</v>
      </c>
      <c r="D151" s="436">
        <f>VLOOKUP(C151,ISS!A:B,2,0)</f>
        <v>0.03</v>
      </c>
      <c r="E151" s="437">
        <f>IF(D151=2%,5.99%,IF(D151=2.5%,6.55%,IF(D151=3%,7.12%,IF(D151=3.5%,7.7%,IF(D151=4%,8.28%,IF(D151=5%,9.46%))))))</f>
        <v>7.1199999999999999E-2</v>
      </c>
      <c r="F151" s="438">
        <v>104</v>
      </c>
      <c r="G151" s="439">
        <v>12444</v>
      </c>
      <c r="H151" s="440" t="s">
        <v>4039</v>
      </c>
      <c r="I151" s="435" t="s">
        <v>3848</v>
      </c>
      <c r="J151" s="102" t="s">
        <v>3521</v>
      </c>
      <c r="K151" s="435" t="str">
        <f>CONCATENATE(C151,I151)</f>
        <v>VespasianoVIGILANTE ARMADO - 12X36 DIURNO</v>
      </c>
      <c r="L151" s="441" t="s">
        <v>3875</v>
      </c>
      <c r="M151" s="441"/>
      <c r="N151" s="102"/>
      <c r="O151" s="102"/>
      <c r="P151" s="102"/>
      <c r="Q151" s="442">
        <f>VLOOKUP('BANCO DADOS-CUSTO TOTAL'!$K151,PARAMETROS!$E:AX,3,0)</f>
        <v>1602.86</v>
      </c>
      <c r="R151" s="442">
        <f>VLOOKUP('BANCO DADOS-CUSTO TOTAL'!$K151,PARAMETROS!$E:AY,4,0)</f>
        <v>0</v>
      </c>
      <c r="S151" s="442">
        <f>VLOOKUP('BANCO DADOS-CUSTO TOTAL'!$K151,PARAMETROS!$E:AZ,5,0)</f>
        <v>480.85799999999995</v>
      </c>
      <c r="T151" s="442">
        <f>VLOOKUP('BANCO DADOS-CUSTO TOTAL'!$K151,PARAMETROS!$E:BA,6,0)</f>
        <v>0</v>
      </c>
      <c r="U151" s="442">
        <f>VLOOKUP('BANCO DADOS-CUSTO TOTAL'!$K151,PARAMETROS!$E:BB,7,0)</f>
        <v>0</v>
      </c>
      <c r="V151" s="442">
        <f>VLOOKUP('BANCO DADOS-CUSTO TOTAL'!$K151,PARAMETROS!$E:BC,8,0)</f>
        <v>0</v>
      </c>
      <c r="W151" s="442">
        <f>VLOOKUP('BANCO DADOS-CUSTO TOTAL'!$K151,PARAMETROS!$E:BD,9,0)</f>
        <v>146.80740454545455</v>
      </c>
      <c r="X151" s="442">
        <f>VLOOKUP('BANCO DADOS-CUSTO TOTAL'!$K151,PARAMETROS!$E:BE,10,0)</f>
        <v>47.357227272727279</v>
      </c>
      <c r="Y151" s="443">
        <f t="shared" si="276"/>
        <v>2277.88</v>
      </c>
      <c r="Z151" s="456"/>
      <c r="AA151" s="444">
        <v>30</v>
      </c>
      <c r="AB151" s="445">
        <f>IF(J151="EFETIVO",IF(AND(L151="",M151=""),$M$5,IF(AND(L151&lt;&gt;"",M151&lt;&gt;"",MONTH(L151)=MONTH(M151),YEAR(L151)=YEAR(M151)),M151-L151+1,IF(AND(L151&lt;&gt;"",M151&lt;&gt;"",MONTH(L151)&lt;&gt;MONTH(M151)),DAY(M151),IF(AND(L151="",M151&lt;&gt;"",MONTH($H$5)=MONTH(M151),YEAR(M151)=YEAR($H$5)),M151-$K$5+1,IF(AND(L151&lt;&gt;"",M151="",MONTH($K$5)=MONTH(L151),YEAR($K$5)=YEAR(L151)),30-DAY(L151)+1,$M$5))))),0)</f>
        <v>30</v>
      </c>
      <c r="AC151" s="446">
        <f>(Y151/30)*(AA151-Z151)</f>
        <v>2277.88</v>
      </c>
      <c r="AD151" s="447">
        <f>Y151</f>
        <v>2277.88</v>
      </c>
      <c r="AE151" s="447">
        <f>IF(AND(J151="EFETIVO",N151="FÉRIAS"),AD151,IF(J151="EFETIVO",AC151,0))</f>
        <v>2277.88</v>
      </c>
      <c r="AF151" s="443">
        <f>IF(J151="EFETIVO",VLOOKUP(K151,PARAMETROS!$E:AX,11,0),0)</f>
        <v>112.9</v>
      </c>
      <c r="AG151" s="443">
        <f>VLOOKUP(H151,'VA E VT - APOIO.LIMPEZA'!F:AX,14,0)</f>
        <v>223.06049999999999</v>
      </c>
      <c r="AH151" s="443">
        <f>VLOOKUP($H151,'VA E VT - APOIO.LIMPEZA'!$F:AY,20,0)</f>
        <v>18.528400000000005</v>
      </c>
      <c r="AI151" s="443">
        <f>IF($J151="EFETIVO",VLOOKUP($K151,PARAMETROS!$E:BA,14,0),0)</f>
        <v>91.08</v>
      </c>
      <c r="AJ151" s="443">
        <f>IF($J151="EFETIVO",VLOOKUP($K151,PARAMETROS!$E:BB,15,0),0)</f>
        <v>17.03</v>
      </c>
      <c r="AK151" s="443"/>
      <c r="AL151" s="443"/>
      <c r="AM151" s="443"/>
      <c r="AN151" s="443"/>
      <c r="AO151" s="448">
        <f t="shared" si="277"/>
        <v>462.59890000000007</v>
      </c>
      <c r="AP151" s="443">
        <f>IF($J151="EFETIVO",VLOOKUP($K151,PARAMETROS!$E:BH,20,0),0)</f>
        <v>62.37</v>
      </c>
      <c r="AQ151" s="446"/>
      <c r="AR151" s="443">
        <f>IF($J151="EFETIVO",VLOOKUP($K151,PARAMETROS!$E:BJ,22,0),0)</f>
        <v>58.53</v>
      </c>
      <c r="AS151" s="446"/>
      <c r="AT151" s="448">
        <f t="shared" si="278"/>
        <v>120.9</v>
      </c>
      <c r="AU151" s="448">
        <f>$AU$10*AC151</f>
        <v>838.25984000000005</v>
      </c>
      <c r="AV151" s="448">
        <f t="shared" si="279"/>
        <v>4.1001840000000005</v>
      </c>
      <c r="AW151" s="448">
        <f t="shared" si="279"/>
        <v>11.3894</v>
      </c>
      <c r="AX151" s="448">
        <f t="shared" si="279"/>
        <v>0.91115200000000007</v>
      </c>
      <c r="AY151" s="448">
        <f t="shared" si="279"/>
        <v>0.45557600000000004</v>
      </c>
      <c r="AZ151" s="448">
        <f t="shared" si="279"/>
        <v>7.9725800000000007</v>
      </c>
      <c r="BA151" s="448">
        <f t="shared" si="279"/>
        <v>2.9339094400000003</v>
      </c>
      <c r="BB151" s="448">
        <f t="shared" si="279"/>
        <v>3.8723960000000002</v>
      </c>
      <c r="BC151" s="448">
        <f t="shared" si="280"/>
        <v>27.53</v>
      </c>
      <c r="BD151" s="448">
        <f t="shared" si="281"/>
        <v>31.662531999999999</v>
      </c>
      <c r="BE151" s="448">
        <f t="shared" si="281"/>
        <v>19.134191999999999</v>
      </c>
      <c r="BF151" s="448">
        <f t="shared" si="281"/>
        <v>7.517004</v>
      </c>
      <c r="BG151" s="448">
        <f t="shared" si="281"/>
        <v>0</v>
      </c>
      <c r="BH151" s="448">
        <f t="shared" si="281"/>
        <v>21.459451904000002</v>
      </c>
      <c r="BI151" s="448">
        <f t="shared" si="282"/>
        <v>79.77</v>
      </c>
      <c r="BJ151" s="448">
        <f t="shared" si="283"/>
        <v>949.66</v>
      </c>
      <c r="BK151" s="448">
        <f>IF($N151="FÉRIAS",$AD151*$BK$10,IF($AB151&gt;=15,$AD151*$BK$10,0))</f>
        <v>189.74740400000002</v>
      </c>
      <c r="BL151" s="448">
        <f>IF($N151="FÉRIAS",$AD151*$BL$10,IF($AB151&gt;=15,$AD151*$BL$10,0))</f>
        <v>253.07246800000001</v>
      </c>
      <c r="BM151" s="448">
        <f>$BM$10*BK151</f>
        <v>69.827044672</v>
      </c>
      <c r="BN151" s="448">
        <f>$BN$10*BL151</f>
        <v>93.130668224000004</v>
      </c>
      <c r="BO151" s="448">
        <f>$BO$10*AE151</f>
        <v>97.94883999999999</v>
      </c>
      <c r="BP151" s="448"/>
      <c r="BQ151" s="448">
        <f t="shared" si="284"/>
        <v>703.72</v>
      </c>
      <c r="BR151" s="448">
        <f t="shared" si="285"/>
        <v>1653.38</v>
      </c>
      <c r="BS151" s="448">
        <f>IF($J151="EFETIVO",BS$10,0)</f>
        <v>288.66000000000003</v>
      </c>
      <c r="BT151" s="448">
        <f>IF($J151="EFETIVO",BT$10,0)</f>
        <v>346.26</v>
      </c>
      <c r="BU151" s="448">
        <f>((AC151+AO151+AT151+BJ151+BS151+BT151)*E151)</f>
        <v>316.55227368000004</v>
      </c>
      <c r="BV151" s="448">
        <f>BQ151*E151</f>
        <v>50.104863999999999</v>
      </c>
      <c r="BW151" s="448">
        <f>SUM(BU151:BV151)</f>
        <v>366.65713768000006</v>
      </c>
      <c r="BX151" s="448">
        <f>BS151+BT151+BW151</f>
        <v>1001.5771376800001</v>
      </c>
      <c r="BY151" s="448">
        <f t="shared" si="286"/>
        <v>4812.6160376799999</v>
      </c>
      <c r="BZ151" s="448">
        <f>BQ151</f>
        <v>703.72</v>
      </c>
      <c r="CA151" s="448">
        <f>BY151+BZ151</f>
        <v>5516.3360376800001</v>
      </c>
      <c r="CB151" s="449"/>
    </row>
    <row r="152" spans="1:80" s="480" customFormat="1" ht="15.75" customHeight="1">
      <c r="A152" s="462"/>
      <c r="B152" s="462"/>
      <c r="C152" s="462" t="s">
        <v>3912</v>
      </c>
      <c r="D152" s="463"/>
      <c r="E152" s="464"/>
      <c r="F152" s="465"/>
      <c r="G152" s="466"/>
      <c r="H152" s="467"/>
      <c r="I152" s="462"/>
      <c r="J152" s="468"/>
      <c r="K152" s="462"/>
      <c r="L152" s="469"/>
      <c r="M152" s="469"/>
      <c r="N152" s="468"/>
      <c r="O152" s="468"/>
      <c r="P152" s="468"/>
      <c r="Q152" s="470"/>
      <c r="R152" s="470"/>
      <c r="S152" s="470"/>
      <c r="T152" s="470"/>
      <c r="U152" s="470"/>
      <c r="V152" s="470"/>
      <c r="W152" s="470"/>
      <c r="X152" s="470"/>
      <c r="Y152" s="471"/>
      <c r="Z152" s="472"/>
      <c r="AA152" s="473"/>
      <c r="AB152" s="474"/>
      <c r="AC152" s="475"/>
      <c r="AD152" s="476"/>
      <c r="AE152" s="476"/>
      <c r="AF152" s="471">
        <f>SUBTOTAL(9,AF150:AF151)</f>
        <v>225.8</v>
      </c>
      <c r="AG152" s="471">
        <f t="shared" ref="AG152:CA152" si="287">SUBTOTAL(9,AG150:AG151)</f>
        <v>446.12099999999998</v>
      </c>
      <c r="AH152" s="471">
        <f t="shared" si="287"/>
        <v>37.05680000000001</v>
      </c>
      <c r="AI152" s="471">
        <f t="shared" si="287"/>
        <v>182.16</v>
      </c>
      <c r="AJ152" s="471">
        <f t="shared" si="287"/>
        <v>34.06</v>
      </c>
      <c r="AK152" s="471">
        <f t="shared" si="287"/>
        <v>0</v>
      </c>
      <c r="AL152" s="471">
        <f t="shared" si="287"/>
        <v>0</v>
      </c>
      <c r="AM152" s="471">
        <f t="shared" si="287"/>
        <v>0</v>
      </c>
      <c r="AN152" s="471">
        <f t="shared" si="287"/>
        <v>0</v>
      </c>
      <c r="AO152" s="471">
        <f t="shared" si="287"/>
        <v>925.19780000000014</v>
      </c>
      <c r="AP152" s="471">
        <f t="shared" si="287"/>
        <v>124.74</v>
      </c>
      <c r="AQ152" s="471">
        <f t="shared" si="287"/>
        <v>0</v>
      </c>
      <c r="AR152" s="471">
        <f t="shared" si="287"/>
        <v>117.06</v>
      </c>
      <c r="AS152" s="471">
        <f t="shared" si="287"/>
        <v>0</v>
      </c>
      <c r="AT152" s="471">
        <f t="shared" si="287"/>
        <v>241.8</v>
      </c>
      <c r="AU152" s="471">
        <f t="shared" si="287"/>
        <v>1676.5196800000001</v>
      </c>
      <c r="AV152" s="471">
        <f t="shared" si="287"/>
        <v>8.200368000000001</v>
      </c>
      <c r="AW152" s="471">
        <f t="shared" si="287"/>
        <v>22.7788</v>
      </c>
      <c r="AX152" s="471">
        <f t="shared" si="287"/>
        <v>1.8223040000000001</v>
      </c>
      <c r="AY152" s="471">
        <f t="shared" si="287"/>
        <v>0.91115200000000007</v>
      </c>
      <c r="AZ152" s="471">
        <f t="shared" si="287"/>
        <v>15.945160000000001</v>
      </c>
      <c r="BA152" s="471">
        <f t="shared" si="287"/>
        <v>5.8678188800000006</v>
      </c>
      <c r="BB152" s="471">
        <f t="shared" si="287"/>
        <v>7.7447920000000003</v>
      </c>
      <c r="BC152" s="471">
        <f t="shared" si="287"/>
        <v>55.06</v>
      </c>
      <c r="BD152" s="471">
        <f t="shared" si="287"/>
        <v>63.325063999999998</v>
      </c>
      <c r="BE152" s="471">
        <f t="shared" si="287"/>
        <v>38.268383999999998</v>
      </c>
      <c r="BF152" s="471">
        <f t="shared" si="287"/>
        <v>15.034008</v>
      </c>
      <c r="BG152" s="471">
        <f t="shared" si="287"/>
        <v>0</v>
      </c>
      <c r="BH152" s="471">
        <f t="shared" si="287"/>
        <v>42.918903808000003</v>
      </c>
      <c r="BI152" s="471">
        <f t="shared" si="287"/>
        <v>159.54</v>
      </c>
      <c r="BJ152" s="471">
        <f t="shared" si="287"/>
        <v>1899.32</v>
      </c>
      <c r="BK152" s="471">
        <f t="shared" si="287"/>
        <v>379.49480800000003</v>
      </c>
      <c r="BL152" s="471">
        <f t="shared" si="287"/>
        <v>506.14493600000003</v>
      </c>
      <c r="BM152" s="471">
        <f t="shared" si="287"/>
        <v>139.654089344</v>
      </c>
      <c r="BN152" s="471">
        <f t="shared" si="287"/>
        <v>186.26133644800001</v>
      </c>
      <c r="BO152" s="471">
        <f t="shared" si="287"/>
        <v>195.89767999999998</v>
      </c>
      <c r="BP152" s="471">
        <f t="shared" si="287"/>
        <v>0</v>
      </c>
      <c r="BQ152" s="471">
        <f t="shared" si="287"/>
        <v>1407.44</v>
      </c>
      <c r="BR152" s="471">
        <f t="shared" si="287"/>
        <v>3306.76</v>
      </c>
      <c r="BS152" s="471">
        <f t="shared" si="287"/>
        <v>577.32000000000005</v>
      </c>
      <c r="BT152" s="471">
        <f t="shared" si="287"/>
        <v>692.52</v>
      </c>
      <c r="BU152" s="471">
        <f t="shared" si="287"/>
        <v>633.10454736000008</v>
      </c>
      <c r="BV152" s="471">
        <f t="shared" si="287"/>
        <v>100.209728</v>
      </c>
      <c r="BW152" s="471">
        <f t="shared" si="287"/>
        <v>733.31427536000012</v>
      </c>
      <c r="BX152" s="471">
        <f t="shared" si="287"/>
        <v>2003.1542753600002</v>
      </c>
      <c r="BY152" s="471">
        <f t="shared" si="287"/>
        <v>9625.2320753599997</v>
      </c>
      <c r="BZ152" s="471">
        <f t="shared" si="287"/>
        <v>1407.44</v>
      </c>
      <c r="CA152" s="471">
        <f t="shared" si="287"/>
        <v>11032.67207536</v>
      </c>
      <c r="CB152" s="479"/>
    </row>
    <row r="153" spans="1:80" s="450" customFormat="1" ht="15.75" customHeight="1">
      <c r="A153" s="435">
        <v>1</v>
      </c>
      <c r="B153" s="435">
        <v>1</v>
      </c>
      <c r="C153" s="435" t="s">
        <v>3847</v>
      </c>
      <c r="D153" s="436">
        <f>VLOOKUP(C153,ISS!A:B,2,0)</f>
        <v>0.02</v>
      </c>
      <c r="E153" s="437">
        <f>IF(D153=2%,5.99%,IF(D153=2.5%,6.55%,IF(D153=3%,7.12%,IF(D153=3.5%,7.7%,IF(D153=4%,8.28%,IF(D153=5%,9.46%))))))</f>
        <v>5.9900000000000002E-2</v>
      </c>
      <c r="F153" s="438">
        <v>105</v>
      </c>
      <c r="G153" s="439">
        <v>12445</v>
      </c>
      <c r="H153" s="440" t="s">
        <v>4040</v>
      </c>
      <c r="I153" s="435" t="s">
        <v>3848</v>
      </c>
      <c r="J153" s="102" t="s">
        <v>3521</v>
      </c>
      <c r="K153" s="435" t="str">
        <f>CONCATENATE(C153,I153)</f>
        <v>ViçosaVIGILANTE ARMADO - 12X36 DIURNO</v>
      </c>
      <c r="L153" s="441" t="s">
        <v>3875</v>
      </c>
      <c r="M153" s="441"/>
      <c r="N153" s="102"/>
      <c r="O153" s="102"/>
      <c r="P153" s="102"/>
      <c r="Q153" s="442">
        <f>VLOOKUP('BANCO DADOS-CUSTO TOTAL'!$K153,PARAMETROS!$E:AX,3,0)</f>
        <v>1602.86</v>
      </c>
      <c r="R153" s="442">
        <f>VLOOKUP('BANCO DADOS-CUSTO TOTAL'!$K153,PARAMETROS!$E:AY,4,0)</f>
        <v>0</v>
      </c>
      <c r="S153" s="442">
        <f>VLOOKUP('BANCO DADOS-CUSTO TOTAL'!$K153,PARAMETROS!$E:AZ,5,0)</f>
        <v>480.85799999999995</v>
      </c>
      <c r="T153" s="442">
        <f>VLOOKUP('BANCO DADOS-CUSTO TOTAL'!$K153,PARAMETROS!$E:BA,6,0)</f>
        <v>0</v>
      </c>
      <c r="U153" s="442">
        <f>VLOOKUP('BANCO DADOS-CUSTO TOTAL'!$K153,PARAMETROS!$E:BB,7,0)</f>
        <v>0</v>
      </c>
      <c r="V153" s="442">
        <f>VLOOKUP('BANCO DADOS-CUSTO TOTAL'!$K153,PARAMETROS!$E:BC,8,0)</f>
        <v>0</v>
      </c>
      <c r="W153" s="442">
        <f>VLOOKUP('BANCO DADOS-CUSTO TOTAL'!$K153,PARAMETROS!$E:BD,9,0)</f>
        <v>146.80740454545455</v>
      </c>
      <c r="X153" s="442">
        <f>VLOOKUP('BANCO DADOS-CUSTO TOTAL'!$K153,PARAMETROS!$E:BE,10,0)</f>
        <v>47.357227272727279</v>
      </c>
      <c r="Y153" s="443">
        <f t="shared" ref="Y153:Y154" si="288">TRUNC(SUM(Q153:X153),2)</f>
        <v>2277.88</v>
      </c>
      <c r="Z153" s="456"/>
      <c r="AA153" s="444">
        <v>30</v>
      </c>
      <c r="AB153" s="445">
        <f>IF(J153="EFETIVO",IF(AND(L153="",M153=""),$M$5,IF(AND(L153&lt;&gt;"",M153&lt;&gt;"",MONTH(L153)=MONTH(M153),YEAR(L153)=YEAR(M153)),M153-L153+1,IF(AND(L153&lt;&gt;"",M153&lt;&gt;"",MONTH(L153)&lt;&gt;MONTH(M153)),DAY(M153),IF(AND(L153="",M153&lt;&gt;"",MONTH($H$5)=MONTH(M153),YEAR(M153)=YEAR($H$5)),M153-$K$5+1,IF(AND(L153&lt;&gt;"",M153="",MONTH($K$5)=MONTH(L153),YEAR($K$5)=YEAR(L153)),30-DAY(L153)+1,$M$5))))),0)</f>
        <v>30</v>
      </c>
      <c r="AC153" s="446">
        <f>(Y153/30)*(AA153-Z153)</f>
        <v>2277.88</v>
      </c>
      <c r="AD153" s="447">
        <f>Y153</f>
        <v>2277.88</v>
      </c>
      <c r="AE153" s="447">
        <f>IF(AND(J153="EFETIVO",N153="FÉRIAS"),AD153,IF(J153="EFETIVO",AC153,0))</f>
        <v>2277.88</v>
      </c>
      <c r="AF153" s="443">
        <f>IF(J153="EFETIVO",VLOOKUP(K153,PARAMETROS!$E:AX,11,0),0)</f>
        <v>112.9</v>
      </c>
      <c r="AG153" s="443">
        <f>VLOOKUP(H153,'VA E VT - APOIO.LIMPEZA'!F:AX,14,0)</f>
        <v>223.06049999999999</v>
      </c>
      <c r="AH153" s="443">
        <f>VLOOKUP($H153,'VA E VT - APOIO.LIMPEZA'!$F:AY,20,0)</f>
        <v>18.528400000000005</v>
      </c>
      <c r="AI153" s="443">
        <f>IF($J153="EFETIVO",VLOOKUP($K153,PARAMETROS!$E:BA,14,0),0)</f>
        <v>91.08</v>
      </c>
      <c r="AJ153" s="443">
        <f>IF($J153="EFETIVO",VLOOKUP($K153,PARAMETROS!$E:BB,15,0),0)</f>
        <v>17.03</v>
      </c>
      <c r="AK153" s="443"/>
      <c r="AL153" s="443"/>
      <c r="AM153" s="443"/>
      <c r="AN153" s="443"/>
      <c r="AO153" s="448">
        <f t="shared" ref="AO153:AO154" si="289">SUM(AF153:AN153)</f>
        <v>462.59890000000007</v>
      </c>
      <c r="AP153" s="443">
        <f>IF($J153="EFETIVO",VLOOKUP($K153,PARAMETROS!$E:BH,20,0),0)</f>
        <v>62.37</v>
      </c>
      <c r="AQ153" s="446"/>
      <c r="AR153" s="443">
        <f>IF($J153="EFETIVO",VLOOKUP($K153,PARAMETROS!$E:BJ,22,0),0)</f>
        <v>58.53</v>
      </c>
      <c r="AS153" s="446"/>
      <c r="AT153" s="448">
        <f t="shared" ref="AT153:AT154" si="290">(AP153+AQ153+AR153+AS153)</f>
        <v>120.9</v>
      </c>
      <c r="AU153" s="448">
        <f>$AU$10*AC153</f>
        <v>838.25984000000005</v>
      </c>
      <c r="AV153" s="448">
        <f t="shared" ref="AV153:BB154" si="291">IF($J153="EFETIVO",$Y153*AV$10,0)</f>
        <v>4.1001840000000005</v>
      </c>
      <c r="AW153" s="448">
        <f t="shared" si="291"/>
        <v>11.3894</v>
      </c>
      <c r="AX153" s="448">
        <f t="shared" si="291"/>
        <v>0.91115200000000007</v>
      </c>
      <c r="AY153" s="448">
        <f t="shared" si="291"/>
        <v>0.45557600000000004</v>
      </c>
      <c r="AZ153" s="448">
        <f t="shared" si="291"/>
        <v>7.9725800000000007</v>
      </c>
      <c r="BA153" s="448">
        <f t="shared" si="291"/>
        <v>2.9339094400000003</v>
      </c>
      <c r="BB153" s="448">
        <f t="shared" si="291"/>
        <v>3.8723960000000002</v>
      </c>
      <c r="BC153" s="448">
        <f t="shared" ref="BC153:BC154" si="292">TRUNC(SUM(AW153:BB153),2)</f>
        <v>27.53</v>
      </c>
      <c r="BD153" s="448">
        <f t="shared" ref="BD153:BH154" si="293">IF($J153="EFETIVO",$Y153*BD$10,0)</f>
        <v>31.662531999999999</v>
      </c>
      <c r="BE153" s="448">
        <f t="shared" si="293"/>
        <v>19.134191999999999</v>
      </c>
      <c r="BF153" s="448">
        <f t="shared" si="293"/>
        <v>7.517004</v>
      </c>
      <c r="BG153" s="448">
        <f t="shared" si="293"/>
        <v>0</v>
      </c>
      <c r="BH153" s="448">
        <f t="shared" si="293"/>
        <v>21.459451904000002</v>
      </c>
      <c r="BI153" s="448">
        <f t="shared" ref="BI153:BI154" si="294">TRUNC(SUM(BD153:BH153),2)</f>
        <v>79.77</v>
      </c>
      <c r="BJ153" s="448">
        <f t="shared" ref="BJ153:BJ154" si="295">TRUNC((BI153+BC153+AV153+AU153),2)</f>
        <v>949.66</v>
      </c>
      <c r="BK153" s="448">
        <f>IF($N153="FÉRIAS",$AD153*$BK$10,IF($AB153&gt;=15,$AD153*$BK$10,0))</f>
        <v>189.74740400000002</v>
      </c>
      <c r="BL153" s="448">
        <f>IF($N153="FÉRIAS",$AD153*$BL$10,IF($AB153&gt;=15,$AD153*$BL$10,0))</f>
        <v>253.07246800000001</v>
      </c>
      <c r="BM153" s="448">
        <f>$BM$10*BK153</f>
        <v>69.827044672</v>
      </c>
      <c r="BN153" s="448">
        <f>$BN$10*BL153</f>
        <v>93.130668224000004</v>
      </c>
      <c r="BO153" s="448">
        <f>$BO$10*AE153</f>
        <v>97.94883999999999</v>
      </c>
      <c r="BP153" s="448"/>
      <c r="BQ153" s="448">
        <f t="shared" ref="BQ153:BQ154" si="296">TRUNC(SUM(BK153:BP153),2)</f>
        <v>703.72</v>
      </c>
      <c r="BR153" s="448">
        <f t="shared" ref="BR153:BR154" si="297">TRUNC((BJ153+BQ153),2)</f>
        <v>1653.38</v>
      </c>
      <c r="BS153" s="448">
        <f>IF($J153="EFETIVO",BS$10,0)</f>
        <v>288.66000000000003</v>
      </c>
      <c r="BT153" s="448">
        <f>IF($J153="EFETIVO",BT$10,0)</f>
        <v>346.26</v>
      </c>
      <c r="BU153" s="448">
        <f>((AC153+AO153+AT153+BJ153+BS153+BT153)*E153)</f>
        <v>266.31293811000006</v>
      </c>
      <c r="BV153" s="448">
        <f>BQ153*E153</f>
        <v>42.152828</v>
      </c>
      <c r="BW153" s="448">
        <f>SUM(BU153:BV153)</f>
        <v>308.46576611000006</v>
      </c>
      <c r="BX153" s="448">
        <f>BS153+BT153+BW153</f>
        <v>943.38576611000008</v>
      </c>
      <c r="BY153" s="448">
        <f t="shared" ref="BY153:BY154" si="298">(AC153+AO153+AT153+BJ153+BX153)</f>
        <v>4754.4246661100005</v>
      </c>
      <c r="BZ153" s="448">
        <f>BQ153</f>
        <v>703.72</v>
      </c>
      <c r="CA153" s="448">
        <f>BY153+BZ153</f>
        <v>5458.1446661100008</v>
      </c>
      <c r="CB153" s="449"/>
    </row>
    <row r="154" spans="1:80" s="450" customFormat="1" ht="15.75" customHeight="1">
      <c r="A154" s="435">
        <v>1</v>
      </c>
      <c r="B154" s="435">
        <v>1</v>
      </c>
      <c r="C154" s="435" t="s">
        <v>3847</v>
      </c>
      <c r="D154" s="436">
        <f>VLOOKUP(C154,ISS!A:B,2,0)</f>
        <v>0.02</v>
      </c>
      <c r="E154" s="437">
        <f>IF(D154=2%,5.99%,IF(D154=2.5%,6.55%,IF(D154=3%,7.12%,IF(D154=3.5%,7.7%,IF(D154=4%,8.28%,IF(D154=5%,9.46%))))))</f>
        <v>5.9900000000000002E-2</v>
      </c>
      <c r="F154" s="438">
        <v>106</v>
      </c>
      <c r="G154" s="439">
        <v>1246</v>
      </c>
      <c r="H154" s="440" t="s">
        <v>4041</v>
      </c>
      <c r="I154" s="435" t="s">
        <v>3848</v>
      </c>
      <c r="J154" s="102" t="s">
        <v>3521</v>
      </c>
      <c r="K154" s="435" t="str">
        <f>CONCATENATE(C154,I154)</f>
        <v>ViçosaVIGILANTE ARMADO - 12X36 DIURNO</v>
      </c>
      <c r="L154" s="441" t="s">
        <v>3875</v>
      </c>
      <c r="M154" s="441"/>
      <c r="N154" s="102"/>
      <c r="O154" s="102"/>
      <c r="P154" s="102"/>
      <c r="Q154" s="442">
        <f>VLOOKUP('BANCO DADOS-CUSTO TOTAL'!$K154,PARAMETROS!$E:AX,3,0)</f>
        <v>1602.86</v>
      </c>
      <c r="R154" s="442">
        <f>VLOOKUP('BANCO DADOS-CUSTO TOTAL'!$K154,PARAMETROS!$E:AY,4,0)</f>
        <v>0</v>
      </c>
      <c r="S154" s="442">
        <f>VLOOKUP('BANCO DADOS-CUSTO TOTAL'!$K154,PARAMETROS!$E:AZ,5,0)</f>
        <v>480.85799999999995</v>
      </c>
      <c r="T154" s="442">
        <f>VLOOKUP('BANCO DADOS-CUSTO TOTAL'!$K154,PARAMETROS!$E:BA,6,0)</f>
        <v>0</v>
      </c>
      <c r="U154" s="442">
        <f>VLOOKUP('BANCO DADOS-CUSTO TOTAL'!$K154,PARAMETROS!$E:BB,7,0)</f>
        <v>0</v>
      </c>
      <c r="V154" s="442">
        <f>VLOOKUP('BANCO DADOS-CUSTO TOTAL'!$K154,PARAMETROS!$E:BC,8,0)</f>
        <v>0</v>
      </c>
      <c r="W154" s="442">
        <f>VLOOKUP('BANCO DADOS-CUSTO TOTAL'!$K154,PARAMETROS!$E:BD,9,0)</f>
        <v>146.80740454545455</v>
      </c>
      <c r="X154" s="442">
        <f>VLOOKUP('BANCO DADOS-CUSTO TOTAL'!$K154,PARAMETROS!$E:BE,10,0)</f>
        <v>47.357227272727279</v>
      </c>
      <c r="Y154" s="443">
        <f t="shared" si="288"/>
        <v>2277.88</v>
      </c>
      <c r="Z154" s="456"/>
      <c r="AA154" s="444">
        <v>30</v>
      </c>
      <c r="AB154" s="445">
        <f>IF(J154="EFETIVO",IF(AND(L154="",M154=""),$M$5,IF(AND(L154&lt;&gt;"",M154&lt;&gt;"",MONTH(L154)=MONTH(M154),YEAR(L154)=YEAR(M154)),M154-L154+1,IF(AND(L154&lt;&gt;"",M154&lt;&gt;"",MONTH(L154)&lt;&gt;MONTH(M154)),DAY(M154),IF(AND(L154="",M154&lt;&gt;"",MONTH($H$5)=MONTH(M154),YEAR(M154)=YEAR($H$5)),M154-$K$5+1,IF(AND(L154&lt;&gt;"",M154="",MONTH($K$5)=MONTH(L154),YEAR($K$5)=YEAR(L154)),30-DAY(L154)+1,$M$5))))),0)</f>
        <v>30</v>
      </c>
      <c r="AC154" s="446">
        <f>(Y154/30)*(AA154-Z154)</f>
        <v>2277.88</v>
      </c>
      <c r="AD154" s="447">
        <f>Y154</f>
        <v>2277.88</v>
      </c>
      <c r="AE154" s="447">
        <f>IF(AND(J154="EFETIVO",N154="FÉRIAS"),AD154,IF(J154="EFETIVO",AC154,0))</f>
        <v>2277.88</v>
      </c>
      <c r="AF154" s="443">
        <f>IF(J154="EFETIVO",VLOOKUP(K154,PARAMETROS!$E:AX,11,0),0)</f>
        <v>112.9</v>
      </c>
      <c r="AG154" s="443">
        <f>VLOOKUP(H154,'VA E VT - APOIO.LIMPEZA'!F:AX,14,0)</f>
        <v>223.06049999999999</v>
      </c>
      <c r="AH154" s="443">
        <f>VLOOKUP($H154,'VA E VT - APOIO.LIMPEZA'!$F:AY,20,0)</f>
        <v>18.528400000000005</v>
      </c>
      <c r="AI154" s="443">
        <f>IF($J154="EFETIVO",VLOOKUP($K154,PARAMETROS!$E:BA,14,0),0)</f>
        <v>91.08</v>
      </c>
      <c r="AJ154" s="443">
        <f>IF($J154="EFETIVO",VLOOKUP($K154,PARAMETROS!$E:BB,15,0),0)</f>
        <v>17.03</v>
      </c>
      <c r="AK154" s="443"/>
      <c r="AL154" s="443"/>
      <c r="AM154" s="443"/>
      <c r="AN154" s="443"/>
      <c r="AO154" s="448">
        <f t="shared" si="289"/>
        <v>462.59890000000007</v>
      </c>
      <c r="AP154" s="443">
        <f>IF($J154="EFETIVO",VLOOKUP($K154,PARAMETROS!$E:BH,20,0),0)</f>
        <v>62.37</v>
      </c>
      <c r="AQ154" s="446"/>
      <c r="AR154" s="443">
        <f>IF($J154="EFETIVO",VLOOKUP($K154,PARAMETROS!$E:BJ,22,0),0)</f>
        <v>58.53</v>
      </c>
      <c r="AS154" s="446"/>
      <c r="AT154" s="448">
        <f t="shared" si="290"/>
        <v>120.9</v>
      </c>
      <c r="AU154" s="448">
        <f>$AU$10*AC154</f>
        <v>838.25984000000005</v>
      </c>
      <c r="AV154" s="448">
        <f t="shared" si="291"/>
        <v>4.1001840000000005</v>
      </c>
      <c r="AW154" s="448">
        <f t="shared" si="291"/>
        <v>11.3894</v>
      </c>
      <c r="AX154" s="448">
        <f t="shared" si="291"/>
        <v>0.91115200000000007</v>
      </c>
      <c r="AY154" s="448">
        <f t="shared" si="291"/>
        <v>0.45557600000000004</v>
      </c>
      <c r="AZ154" s="448">
        <f t="shared" si="291"/>
        <v>7.9725800000000007</v>
      </c>
      <c r="BA154" s="448">
        <f t="shared" si="291"/>
        <v>2.9339094400000003</v>
      </c>
      <c r="BB154" s="448">
        <f t="shared" si="291"/>
        <v>3.8723960000000002</v>
      </c>
      <c r="BC154" s="448">
        <f t="shared" si="292"/>
        <v>27.53</v>
      </c>
      <c r="BD154" s="448">
        <f t="shared" si="293"/>
        <v>31.662531999999999</v>
      </c>
      <c r="BE154" s="448">
        <f t="shared" si="293"/>
        <v>19.134191999999999</v>
      </c>
      <c r="BF154" s="448">
        <f t="shared" si="293"/>
        <v>7.517004</v>
      </c>
      <c r="BG154" s="448">
        <f t="shared" si="293"/>
        <v>0</v>
      </c>
      <c r="BH154" s="448">
        <f t="shared" si="293"/>
        <v>21.459451904000002</v>
      </c>
      <c r="BI154" s="448">
        <f t="shared" si="294"/>
        <v>79.77</v>
      </c>
      <c r="BJ154" s="448">
        <f t="shared" si="295"/>
        <v>949.66</v>
      </c>
      <c r="BK154" s="448">
        <f>IF($N154="FÉRIAS",$AD154*$BK$10,IF($AB154&gt;=15,$AD154*$BK$10,0))</f>
        <v>189.74740400000002</v>
      </c>
      <c r="BL154" s="448">
        <f>IF($N154="FÉRIAS",$AD154*$BL$10,IF($AB154&gt;=15,$AD154*$BL$10,0))</f>
        <v>253.07246800000001</v>
      </c>
      <c r="BM154" s="448">
        <f>$BM$10*BK154</f>
        <v>69.827044672</v>
      </c>
      <c r="BN154" s="448">
        <f>$BN$10*BL154</f>
        <v>93.130668224000004</v>
      </c>
      <c r="BO154" s="448">
        <f>$BO$10*AE154</f>
        <v>97.94883999999999</v>
      </c>
      <c r="BP154" s="448"/>
      <c r="BQ154" s="448">
        <f t="shared" si="296"/>
        <v>703.72</v>
      </c>
      <c r="BR154" s="448">
        <f t="shared" si="297"/>
        <v>1653.38</v>
      </c>
      <c r="BS154" s="448">
        <f>IF($J154="EFETIVO",BS$10,0)</f>
        <v>288.66000000000003</v>
      </c>
      <c r="BT154" s="448">
        <f>IF($J154="EFETIVO",BT$10,0)</f>
        <v>346.26</v>
      </c>
      <c r="BU154" s="448">
        <f>((AC154+AO154+AT154+BJ154+BS154+BT154)*E154)</f>
        <v>266.31293811000006</v>
      </c>
      <c r="BV154" s="448">
        <f>BQ154*E154</f>
        <v>42.152828</v>
      </c>
      <c r="BW154" s="448">
        <f>SUM(BU154:BV154)</f>
        <v>308.46576611000006</v>
      </c>
      <c r="BX154" s="448">
        <f>BS154+BT154+BW154</f>
        <v>943.38576611000008</v>
      </c>
      <c r="BY154" s="448">
        <f t="shared" si="298"/>
        <v>4754.4246661100005</v>
      </c>
      <c r="BZ154" s="448">
        <f>BQ154</f>
        <v>703.72</v>
      </c>
      <c r="CA154" s="448">
        <f>BY154+BZ154</f>
        <v>5458.1446661100008</v>
      </c>
      <c r="CB154" s="449"/>
    </row>
    <row r="155" spans="1:80" s="480" customFormat="1" ht="15.75" customHeight="1">
      <c r="A155" s="462"/>
      <c r="B155" s="462">
        <f>SUBTOTAL(9,B11:B154)</f>
        <v>106</v>
      </c>
      <c r="C155" s="462" t="s">
        <v>3913</v>
      </c>
      <c r="D155" s="463"/>
      <c r="E155" s="464"/>
      <c r="F155" s="465"/>
      <c r="G155" s="466"/>
      <c r="H155" s="467"/>
      <c r="I155" s="462"/>
      <c r="J155" s="468"/>
      <c r="K155" s="462"/>
      <c r="L155" s="469"/>
      <c r="M155" s="469"/>
      <c r="N155" s="468"/>
      <c r="O155" s="468"/>
      <c r="P155" s="468"/>
      <c r="Q155" s="470"/>
      <c r="R155" s="470"/>
      <c r="S155" s="470"/>
      <c r="T155" s="470"/>
      <c r="U155" s="470"/>
      <c r="V155" s="470"/>
      <c r="W155" s="470"/>
      <c r="X155" s="470"/>
      <c r="Y155" s="471"/>
      <c r="Z155" s="472"/>
      <c r="AA155" s="473"/>
      <c r="AB155" s="474"/>
      <c r="AC155" s="475"/>
      <c r="AD155" s="476"/>
      <c r="AE155" s="470"/>
      <c r="AF155" s="477">
        <f t="shared" ref="AF155:BZ155" si="299">SUBTOTAL(9,AF153:AF154)</f>
        <v>225.8</v>
      </c>
      <c r="AG155" s="477">
        <f t="shared" si="299"/>
        <v>446.12099999999998</v>
      </c>
      <c r="AH155" s="477">
        <f t="shared" si="299"/>
        <v>37.05680000000001</v>
      </c>
      <c r="AI155" s="477">
        <f t="shared" si="299"/>
        <v>182.16</v>
      </c>
      <c r="AJ155" s="477">
        <f t="shared" si="299"/>
        <v>34.06</v>
      </c>
      <c r="AK155" s="477">
        <f t="shared" si="299"/>
        <v>0</v>
      </c>
      <c r="AL155" s="477">
        <f t="shared" si="299"/>
        <v>0</v>
      </c>
      <c r="AM155" s="477">
        <f t="shared" si="299"/>
        <v>0</v>
      </c>
      <c r="AN155" s="477">
        <f t="shared" si="299"/>
        <v>0</v>
      </c>
      <c r="AO155" s="477">
        <f t="shared" si="299"/>
        <v>925.19780000000014</v>
      </c>
      <c r="AP155" s="477">
        <f t="shared" si="299"/>
        <v>124.74</v>
      </c>
      <c r="AQ155" s="477">
        <f t="shared" si="299"/>
        <v>0</v>
      </c>
      <c r="AR155" s="477">
        <f t="shared" si="299"/>
        <v>117.06</v>
      </c>
      <c r="AS155" s="477">
        <f t="shared" si="299"/>
        <v>0</v>
      </c>
      <c r="AT155" s="477">
        <f t="shared" si="299"/>
        <v>241.8</v>
      </c>
      <c r="AU155" s="477">
        <f t="shared" si="299"/>
        <v>1676.5196800000001</v>
      </c>
      <c r="AV155" s="477">
        <f t="shared" si="299"/>
        <v>8.200368000000001</v>
      </c>
      <c r="AW155" s="477">
        <f t="shared" si="299"/>
        <v>22.7788</v>
      </c>
      <c r="AX155" s="477">
        <f t="shared" si="299"/>
        <v>1.8223040000000001</v>
      </c>
      <c r="AY155" s="477">
        <f t="shared" si="299"/>
        <v>0.91115200000000007</v>
      </c>
      <c r="AZ155" s="477">
        <f t="shared" si="299"/>
        <v>15.945160000000001</v>
      </c>
      <c r="BA155" s="477">
        <f t="shared" si="299"/>
        <v>5.8678188800000006</v>
      </c>
      <c r="BB155" s="477">
        <f t="shared" si="299"/>
        <v>7.7447920000000003</v>
      </c>
      <c r="BC155" s="477">
        <f t="shared" si="299"/>
        <v>55.06</v>
      </c>
      <c r="BD155" s="477">
        <f t="shared" si="299"/>
        <v>63.325063999999998</v>
      </c>
      <c r="BE155" s="477">
        <f t="shared" si="299"/>
        <v>38.268383999999998</v>
      </c>
      <c r="BF155" s="477">
        <f t="shared" si="299"/>
        <v>15.034008</v>
      </c>
      <c r="BG155" s="477">
        <f t="shared" si="299"/>
        <v>0</v>
      </c>
      <c r="BH155" s="477">
        <f t="shared" si="299"/>
        <v>42.918903808000003</v>
      </c>
      <c r="BI155" s="477">
        <f t="shared" si="299"/>
        <v>159.54</v>
      </c>
      <c r="BJ155" s="477">
        <f t="shared" si="299"/>
        <v>1899.32</v>
      </c>
      <c r="BK155" s="477">
        <f t="shared" si="299"/>
        <v>379.49480800000003</v>
      </c>
      <c r="BL155" s="477">
        <f t="shared" si="299"/>
        <v>506.14493600000003</v>
      </c>
      <c r="BM155" s="477">
        <f t="shared" si="299"/>
        <v>139.654089344</v>
      </c>
      <c r="BN155" s="477">
        <f t="shared" si="299"/>
        <v>186.26133644800001</v>
      </c>
      <c r="BO155" s="477">
        <f t="shared" si="299"/>
        <v>195.89767999999998</v>
      </c>
      <c r="BP155" s="477">
        <f t="shared" si="299"/>
        <v>0</v>
      </c>
      <c r="BQ155" s="477">
        <f t="shared" si="299"/>
        <v>1407.44</v>
      </c>
      <c r="BR155" s="477">
        <f t="shared" si="299"/>
        <v>3306.76</v>
      </c>
      <c r="BS155" s="477">
        <f t="shared" si="299"/>
        <v>577.32000000000005</v>
      </c>
      <c r="BT155" s="477">
        <f t="shared" si="299"/>
        <v>692.52</v>
      </c>
      <c r="BU155" s="477">
        <f t="shared" si="299"/>
        <v>532.62587622000012</v>
      </c>
      <c r="BV155" s="477">
        <f t="shared" si="299"/>
        <v>84.305655999999999</v>
      </c>
      <c r="BW155" s="477">
        <f t="shared" si="299"/>
        <v>616.93153222000012</v>
      </c>
      <c r="BX155" s="477">
        <f t="shared" si="299"/>
        <v>1886.7715322200002</v>
      </c>
      <c r="BY155" s="477">
        <f t="shared" si="299"/>
        <v>9508.8493322200011</v>
      </c>
      <c r="BZ155" s="477">
        <f t="shared" si="299"/>
        <v>1407.44</v>
      </c>
      <c r="CA155" s="477">
        <f>SUBTOTAL(9,CA153:CA154)</f>
        <v>10916.289332220002</v>
      </c>
      <c r="CB155" s="479"/>
    </row>
    <row r="156" spans="1:80" s="480" customFormat="1" ht="15.75" customHeight="1">
      <c r="A156" s="462"/>
      <c r="B156" s="462"/>
      <c r="C156" s="462" t="s">
        <v>3423</v>
      </c>
      <c r="D156" s="463"/>
      <c r="E156" s="464"/>
      <c r="F156" s="465"/>
      <c r="G156" s="466"/>
      <c r="H156" s="467"/>
      <c r="I156" s="462"/>
      <c r="J156" s="468"/>
      <c r="K156" s="462"/>
      <c r="L156" s="469"/>
      <c r="M156" s="469"/>
      <c r="N156" s="468"/>
      <c r="O156" s="468"/>
      <c r="P156" s="468"/>
      <c r="Q156" s="470"/>
      <c r="R156" s="470"/>
      <c r="S156" s="470"/>
      <c r="T156" s="470"/>
      <c r="U156" s="470"/>
      <c r="V156" s="470"/>
      <c r="W156" s="470"/>
      <c r="X156" s="470"/>
      <c r="Y156" s="471"/>
      <c r="Z156" s="472"/>
      <c r="AA156" s="473"/>
      <c r="AB156" s="474"/>
      <c r="AC156" s="475"/>
      <c r="AD156" s="476"/>
      <c r="AE156" s="471"/>
      <c r="AF156" s="477">
        <f t="shared" ref="AF156:BZ156" si="300">SUBTOTAL(9,AF10:AF155)</f>
        <v>11967.399999999978</v>
      </c>
      <c r="AG156" s="477">
        <f t="shared" si="300"/>
        <v>24709.346999999969</v>
      </c>
      <c r="AH156" s="477">
        <f t="shared" si="300"/>
        <v>6146.8865350120068</v>
      </c>
      <c r="AI156" s="477">
        <f t="shared" si="300"/>
        <v>9654.4799999999941</v>
      </c>
      <c r="AJ156" s="477">
        <f t="shared" si="300"/>
        <v>1805.1799999999976</v>
      </c>
      <c r="AK156" s="477">
        <f t="shared" si="300"/>
        <v>0</v>
      </c>
      <c r="AL156" s="477">
        <f t="shared" si="300"/>
        <v>0</v>
      </c>
      <c r="AM156" s="477">
        <f t="shared" si="300"/>
        <v>0</v>
      </c>
      <c r="AN156" s="477">
        <f t="shared" si="300"/>
        <v>0</v>
      </c>
      <c r="AO156" s="477">
        <f t="shared" si="300"/>
        <v>54283.293535011893</v>
      </c>
      <c r="AP156" s="477">
        <f t="shared" si="300"/>
        <v>6611.2199999999903</v>
      </c>
      <c r="AQ156" s="477">
        <f t="shared" si="300"/>
        <v>0</v>
      </c>
      <c r="AR156" s="477">
        <f t="shared" si="300"/>
        <v>6204.1799999999967</v>
      </c>
      <c r="AS156" s="477">
        <f t="shared" si="300"/>
        <v>0</v>
      </c>
      <c r="AT156" s="477">
        <f t="shared" si="300"/>
        <v>12815.399999999976</v>
      </c>
      <c r="AU156" s="477">
        <f t="shared" si="300"/>
        <v>93505.450825277832</v>
      </c>
      <c r="AV156" s="477">
        <f t="shared" si="300"/>
        <v>461.07142200000067</v>
      </c>
      <c r="AW156" s="477">
        <f t="shared" si="300"/>
        <v>1280.7539500000016</v>
      </c>
      <c r="AX156" s="477">
        <f t="shared" si="300"/>
        <v>102.46031599999996</v>
      </c>
      <c r="AY156" s="477">
        <f t="shared" si="300"/>
        <v>51.230157999999982</v>
      </c>
      <c r="AZ156" s="477">
        <f t="shared" si="300"/>
        <v>896.52776500000004</v>
      </c>
      <c r="BA156" s="477">
        <f t="shared" si="300"/>
        <v>329.92221751999978</v>
      </c>
      <c r="BB156" s="477">
        <f t="shared" si="300"/>
        <v>435.45634299999938</v>
      </c>
      <c r="BC156" s="477">
        <f t="shared" si="300"/>
        <v>3095.8300000000022</v>
      </c>
      <c r="BD156" s="477">
        <f t="shared" si="300"/>
        <v>3560.4959809999946</v>
      </c>
      <c r="BE156" s="477">
        <f t="shared" si="300"/>
        <v>2151.6666359999999</v>
      </c>
      <c r="BF156" s="477">
        <f t="shared" si="300"/>
        <v>845.29760700000008</v>
      </c>
      <c r="BG156" s="477">
        <f t="shared" si="300"/>
        <v>0</v>
      </c>
      <c r="BH156" s="477">
        <f t="shared" si="300"/>
        <v>2413.1453624319979</v>
      </c>
      <c r="BI156" s="477">
        <f t="shared" si="300"/>
        <v>8970.2300000000159</v>
      </c>
      <c r="BJ156" s="477">
        <f t="shared" si="300"/>
        <v>106031.78000000017</v>
      </c>
      <c r="BK156" s="477">
        <f t="shared" si="300"/>
        <v>20884.558667000027</v>
      </c>
      <c r="BL156" s="477">
        <f t="shared" si="300"/>
        <v>28156.394078999954</v>
      </c>
      <c r="BM156" s="477">
        <f t="shared" si="300"/>
        <v>7685.8549350559997</v>
      </c>
      <c r="BN156" s="477">
        <f t="shared" si="300"/>
        <v>10361.880136271988</v>
      </c>
      <c r="BO156" s="477">
        <f t="shared" si="300"/>
        <v>10925.000296302123</v>
      </c>
      <c r="BP156" s="477">
        <f t="shared" si="300"/>
        <v>0</v>
      </c>
      <c r="BQ156" s="477">
        <f t="shared" si="300"/>
        <v>78012.110000000117</v>
      </c>
      <c r="BR156" s="477">
        <f t="shared" si="300"/>
        <v>184043.89000000022</v>
      </c>
      <c r="BS156" s="477">
        <f t="shared" si="300"/>
        <v>30886.619999999988</v>
      </c>
      <c r="BT156" s="477">
        <f t="shared" si="300"/>
        <v>37049.819999999956</v>
      </c>
      <c r="BU156" s="477">
        <f t="shared" si="300"/>
        <v>39859.717420136272</v>
      </c>
      <c r="BV156" s="477">
        <f t="shared" si="300"/>
        <v>6273.3445550000051</v>
      </c>
      <c r="BW156" s="477">
        <f t="shared" si="300"/>
        <v>46133.061975136297</v>
      </c>
      <c r="BX156" s="477">
        <f t="shared" si="300"/>
        <v>113434.58197513621</v>
      </c>
      <c r="BY156" s="477">
        <f t="shared" si="300"/>
        <v>540654.9544918813</v>
      </c>
      <c r="BZ156" s="477">
        <f t="shared" si="300"/>
        <v>78012.110000000117</v>
      </c>
      <c r="CA156" s="477">
        <f>SUBTOTAL(9,CA10:CA155)</f>
        <v>618667.06449188164</v>
      </c>
      <c r="CB156" s="479"/>
    </row>
    <row r="157" spans="1:80">
      <c r="CA157" s="47"/>
    </row>
  </sheetData>
  <sheetProtection algorithmName="SHA-512" hashValue="cgHDoSPQamlrRxH0+SICAGMtDUC5glCJQ3e2u37zoXZTyzDENaNTKlDnq7PTlN4seI7I/PVOvxA7oWfkwiYBvA==" saltValue="3FwGpR4uEsTEXQJ1pslPqQ==" spinCount="100000" sheet="1" objects="1" scenarios="1"/>
  <autoFilter ref="A10:CQ157"/>
  <mergeCells count="53">
    <mergeCell ref="D4:F4"/>
    <mergeCell ref="A7:A9"/>
    <mergeCell ref="H7:H9"/>
    <mergeCell ref="N7:P8"/>
    <mergeCell ref="E7:E9"/>
    <mergeCell ref="M7:M9"/>
    <mergeCell ref="F7:F9"/>
    <mergeCell ref="K7:K9"/>
    <mergeCell ref="C7:C9"/>
    <mergeCell ref="B7:B9"/>
    <mergeCell ref="G7:G9"/>
    <mergeCell ref="L7:L9"/>
    <mergeCell ref="I7:I9"/>
    <mergeCell ref="J7:J9"/>
    <mergeCell ref="D5:F5"/>
    <mergeCell ref="AN8:AN9"/>
    <mergeCell ref="I5:J5"/>
    <mergeCell ref="AJ8:AJ9"/>
    <mergeCell ref="BJ8:BJ9"/>
    <mergeCell ref="D7:D9"/>
    <mergeCell ref="BD8:BI8"/>
    <mergeCell ref="N1:V5"/>
    <mergeCell ref="Q8:Y8"/>
    <mergeCell ref="AO8:AO9"/>
    <mergeCell ref="AL8:AL9"/>
    <mergeCell ref="AP7:AT8"/>
    <mergeCell ref="Q7:AD7"/>
    <mergeCell ref="C2:F2"/>
    <mergeCell ref="AM8:AM9"/>
    <mergeCell ref="D3:F3"/>
    <mergeCell ref="AF7:AO7"/>
    <mergeCell ref="AG8:AG9"/>
    <mergeCell ref="AI8:AI9"/>
    <mergeCell ref="AK8:AK9"/>
    <mergeCell ref="AH8:AH9"/>
    <mergeCell ref="AF8:AF9"/>
    <mergeCell ref="BO8:BO9"/>
    <mergeCell ref="BR7:BR9"/>
    <mergeCell ref="AU7:BJ7"/>
    <mergeCell ref="AW8:BC8"/>
    <mergeCell ref="BQ8:BQ9"/>
    <mergeCell ref="BK7:BQ7"/>
    <mergeCell ref="BL8:BL9"/>
    <mergeCell ref="BP8:BP9"/>
    <mergeCell ref="BM8:BN8"/>
    <mergeCell ref="BK8:BK9"/>
    <mergeCell ref="BY7:CA8"/>
    <mergeCell ref="BS7:BX7"/>
    <mergeCell ref="BV8:BV9"/>
    <mergeCell ref="BW8:BW9"/>
    <mergeCell ref="BU8:BU9"/>
    <mergeCell ref="BS8:BS9"/>
    <mergeCell ref="BT8:BT9"/>
  </mergeCells>
  <conditionalFormatting sqref="H131 H125 H1:H6 H10:H13 H15 H17:H26 H61:H62 H64 H66 H68:H69 H77 H71 H79:H81 H83 H85 H87 H89 H91 H93:H94 H96:H99 H101:H102 H104 H106 H108 H111:H112 H114 H117 H119 H122 H128 H133 H136 H138 H141 H143 H148 H154 H150 H157:H65536 H73:H75 H28:H48 H50:H59">
    <cfRule type="cellIs" dxfId="144" priority="107" stopIfTrue="1" operator="equal">
      <formula>42552</formula>
    </cfRule>
    <cfRule type="duplicateValues" dxfId="143" priority="109" stopIfTrue="1"/>
  </conditionalFormatting>
  <conditionalFormatting sqref="H14">
    <cfRule type="cellIs" dxfId="142" priority="103" stopIfTrue="1" operator="equal">
      <formula>42552</formula>
    </cfRule>
    <cfRule type="duplicateValues" dxfId="141" priority="104" stopIfTrue="1"/>
  </conditionalFormatting>
  <conditionalFormatting sqref="H16">
    <cfRule type="cellIs" dxfId="140" priority="101" stopIfTrue="1" operator="equal">
      <formula>42552</formula>
    </cfRule>
    <cfRule type="duplicateValues" dxfId="139" priority="102" stopIfTrue="1"/>
  </conditionalFormatting>
  <conditionalFormatting sqref="H60">
    <cfRule type="cellIs" dxfId="138" priority="99" stopIfTrue="1" operator="equal">
      <formula>42552</formula>
    </cfRule>
    <cfRule type="duplicateValues" dxfId="137" priority="100" stopIfTrue="1"/>
  </conditionalFormatting>
  <conditionalFormatting sqref="H63">
    <cfRule type="cellIs" dxfId="136" priority="97" stopIfTrue="1" operator="equal">
      <formula>42552</formula>
    </cfRule>
    <cfRule type="duplicateValues" dxfId="135" priority="98" stopIfTrue="1"/>
  </conditionalFormatting>
  <conditionalFormatting sqref="H65">
    <cfRule type="cellIs" dxfId="134" priority="95" stopIfTrue="1" operator="equal">
      <formula>42552</formula>
    </cfRule>
    <cfRule type="duplicateValues" dxfId="133" priority="96" stopIfTrue="1"/>
  </conditionalFormatting>
  <conditionalFormatting sqref="H67">
    <cfRule type="cellIs" dxfId="132" priority="93" stopIfTrue="1" operator="equal">
      <formula>42552</formula>
    </cfRule>
    <cfRule type="duplicateValues" dxfId="131" priority="94" stopIfTrue="1"/>
  </conditionalFormatting>
  <conditionalFormatting sqref="H70">
    <cfRule type="cellIs" dxfId="130" priority="91" stopIfTrue="1" operator="equal">
      <formula>42552</formula>
    </cfRule>
    <cfRule type="duplicateValues" dxfId="129" priority="92" stopIfTrue="1"/>
  </conditionalFormatting>
  <conditionalFormatting sqref="H76">
    <cfRule type="cellIs" dxfId="128" priority="89" stopIfTrue="1" operator="equal">
      <formula>42552</formula>
    </cfRule>
    <cfRule type="duplicateValues" dxfId="127" priority="90" stopIfTrue="1"/>
  </conditionalFormatting>
  <conditionalFormatting sqref="H78">
    <cfRule type="cellIs" dxfId="126" priority="87" stopIfTrue="1" operator="equal">
      <formula>42552</formula>
    </cfRule>
    <cfRule type="duplicateValues" dxfId="125" priority="88" stopIfTrue="1"/>
  </conditionalFormatting>
  <conditionalFormatting sqref="H82">
    <cfRule type="cellIs" dxfId="124" priority="85" stopIfTrue="1" operator="equal">
      <formula>42552</formula>
    </cfRule>
    <cfRule type="duplicateValues" dxfId="123" priority="86" stopIfTrue="1"/>
  </conditionalFormatting>
  <conditionalFormatting sqref="H84">
    <cfRule type="cellIs" dxfId="122" priority="83" stopIfTrue="1" operator="equal">
      <formula>42552</formula>
    </cfRule>
    <cfRule type="duplicateValues" dxfId="121" priority="84" stopIfTrue="1"/>
  </conditionalFormatting>
  <conditionalFormatting sqref="H86">
    <cfRule type="cellIs" dxfId="120" priority="81" stopIfTrue="1" operator="equal">
      <formula>42552</formula>
    </cfRule>
    <cfRule type="duplicateValues" dxfId="119" priority="82" stopIfTrue="1"/>
  </conditionalFormatting>
  <conditionalFormatting sqref="H88">
    <cfRule type="cellIs" dxfId="118" priority="79" stopIfTrue="1" operator="equal">
      <formula>42552</formula>
    </cfRule>
    <cfRule type="duplicateValues" dxfId="117" priority="80" stopIfTrue="1"/>
  </conditionalFormatting>
  <conditionalFormatting sqref="H90">
    <cfRule type="cellIs" dxfId="116" priority="77" stopIfTrue="1" operator="equal">
      <formula>42552</formula>
    </cfRule>
    <cfRule type="duplicateValues" dxfId="115" priority="78" stopIfTrue="1"/>
  </conditionalFormatting>
  <conditionalFormatting sqref="H92">
    <cfRule type="cellIs" dxfId="114" priority="75" stopIfTrue="1" operator="equal">
      <formula>42552</formula>
    </cfRule>
    <cfRule type="duplicateValues" dxfId="113" priority="76" stopIfTrue="1"/>
  </conditionalFormatting>
  <conditionalFormatting sqref="H95">
    <cfRule type="cellIs" dxfId="112" priority="73" stopIfTrue="1" operator="equal">
      <formula>42552</formula>
    </cfRule>
    <cfRule type="duplicateValues" dxfId="111" priority="74" stopIfTrue="1"/>
  </conditionalFormatting>
  <conditionalFormatting sqref="H100">
    <cfRule type="cellIs" dxfId="110" priority="71" stopIfTrue="1" operator="equal">
      <formula>42552</formula>
    </cfRule>
    <cfRule type="duplicateValues" dxfId="109" priority="72" stopIfTrue="1"/>
  </conditionalFormatting>
  <conditionalFormatting sqref="H103">
    <cfRule type="cellIs" dxfId="108" priority="69" stopIfTrue="1" operator="equal">
      <formula>42552</formula>
    </cfRule>
    <cfRule type="duplicateValues" dxfId="107" priority="70" stopIfTrue="1"/>
  </conditionalFormatting>
  <conditionalFormatting sqref="H105">
    <cfRule type="cellIs" dxfId="106" priority="67" stopIfTrue="1" operator="equal">
      <formula>42552</formula>
    </cfRule>
    <cfRule type="duplicateValues" dxfId="105" priority="68" stopIfTrue="1"/>
  </conditionalFormatting>
  <conditionalFormatting sqref="H107">
    <cfRule type="cellIs" dxfId="104" priority="65" stopIfTrue="1" operator="equal">
      <formula>42552</formula>
    </cfRule>
    <cfRule type="duplicateValues" dxfId="103" priority="66" stopIfTrue="1"/>
  </conditionalFormatting>
  <conditionalFormatting sqref="H109">
    <cfRule type="cellIs" dxfId="102" priority="63" stopIfTrue="1" operator="equal">
      <formula>42552</formula>
    </cfRule>
    <cfRule type="duplicateValues" dxfId="101" priority="64" stopIfTrue="1"/>
  </conditionalFormatting>
  <conditionalFormatting sqref="H110">
    <cfRule type="cellIs" dxfId="100" priority="61" stopIfTrue="1" operator="equal">
      <formula>42552</formula>
    </cfRule>
    <cfRule type="duplicateValues" dxfId="99" priority="62" stopIfTrue="1"/>
  </conditionalFormatting>
  <conditionalFormatting sqref="H113">
    <cfRule type="cellIs" dxfId="98" priority="59" stopIfTrue="1" operator="equal">
      <formula>42552</formula>
    </cfRule>
    <cfRule type="duplicateValues" dxfId="97" priority="60" stopIfTrue="1"/>
  </conditionalFormatting>
  <conditionalFormatting sqref="H115">
    <cfRule type="cellIs" dxfId="96" priority="57" stopIfTrue="1" operator="equal">
      <formula>42552</formula>
    </cfRule>
    <cfRule type="duplicateValues" dxfId="95" priority="58" stopIfTrue="1"/>
  </conditionalFormatting>
  <conditionalFormatting sqref="H116">
    <cfRule type="cellIs" dxfId="94" priority="55" stopIfTrue="1" operator="equal">
      <formula>42552</formula>
    </cfRule>
    <cfRule type="duplicateValues" dxfId="93" priority="56" stopIfTrue="1"/>
  </conditionalFormatting>
  <conditionalFormatting sqref="H118">
    <cfRule type="cellIs" dxfId="92" priority="53" stopIfTrue="1" operator="equal">
      <formula>42552</formula>
    </cfRule>
    <cfRule type="duplicateValues" dxfId="91" priority="54" stopIfTrue="1"/>
  </conditionalFormatting>
  <conditionalFormatting sqref="H120">
    <cfRule type="cellIs" dxfId="90" priority="51" stopIfTrue="1" operator="equal">
      <formula>42552</formula>
    </cfRule>
    <cfRule type="duplicateValues" dxfId="89" priority="52" stopIfTrue="1"/>
  </conditionalFormatting>
  <conditionalFormatting sqref="H121">
    <cfRule type="cellIs" dxfId="88" priority="49" stopIfTrue="1" operator="equal">
      <formula>42552</formula>
    </cfRule>
    <cfRule type="duplicateValues" dxfId="87" priority="50" stopIfTrue="1"/>
  </conditionalFormatting>
  <conditionalFormatting sqref="H124">
    <cfRule type="cellIs" dxfId="86" priority="47" stopIfTrue="1" operator="equal">
      <formula>42552</formula>
    </cfRule>
    <cfRule type="duplicateValues" dxfId="85" priority="48" stopIfTrue="1"/>
  </conditionalFormatting>
  <conditionalFormatting sqref="H123">
    <cfRule type="cellIs" dxfId="84" priority="45" stopIfTrue="1" operator="equal">
      <formula>42552</formula>
    </cfRule>
    <cfRule type="duplicateValues" dxfId="83" priority="46" stopIfTrue="1"/>
  </conditionalFormatting>
  <conditionalFormatting sqref="H126">
    <cfRule type="cellIs" dxfId="82" priority="43" stopIfTrue="1" operator="equal">
      <formula>42552</formula>
    </cfRule>
    <cfRule type="duplicateValues" dxfId="81" priority="44" stopIfTrue="1"/>
  </conditionalFormatting>
  <conditionalFormatting sqref="H127">
    <cfRule type="cellIs" dxfId="80" priority="41" stopIfTrue="1" operator="equal">
      <formula>42552</formula>
    </cfRule>
    <cfRule type="duplicateValues" dxfId="79" priority="42" stopIfTrue="1"/>
  </conditionalFormatting>
  <conditionalFormatting sqref="H130">
    <cfRule type="cellIs" dxfId="78" priority="39" stopIfTrue="1" operator="equal">
      <formula>42552</formula>
    </cfRule>
    <cfRule type="duplicateValues" dxfId="77" priority="40" stopIfTrue="1"/>
  </conditionalFormatting>
  <conditionalFormatting sqref="H132">
    <cfRule type="cellIs" dxfId="76" priority="37" stopIfTrue="1" operator="equal">
      <formula>42552</formula>
    </cfRule>
    <cfRule type="duplicateValues" dxfId="75" priority="38" stopIfTrue="1"/>
  </conditionalFormatting>
  <conditionalFormatting sqref="H134">
    <cfRule type="cellIs" dxfId="74" priority="35" stopIfTrue="1" operator="equal">
      <formula>42552</formula>
    </cfRule>
    <cfRule type="duplicateValues" dxfId="73" priority="36" stopIfTrue="1"/>
  </conditionalFormatting>
  <conditionalFormatting sqref="H135">
    <cfRule type="cellIs" dxfId="72" priority="33" stopIfTrue="1" operator="equal">
      <formula>42552</formula>
    </cfRule>
    <cfRule type="duplicateValues" dxfId="71" priority="34" stopIfTrue="1"/>
  </conditionalFormatting>
  <conditionalFormatting sqref="H137">
    <cfRule type="cellIs" dxfId="70" priority="31" stopIfTrue="1" operator="equal">
      <formula>42552</formula>
    </cfRule>
    <cfRule type="duplicateValues" dxfId="69" priority="32" stopIfTrue="1"/>
  </conditionalFormatting>
  <conditionalFormatting sqref="H139">
    <cfRule type="cellIs" dxfId="68" priority="29" stopIfTrue="1" operator="equal">
      <formula>42552</formula>
    </cfRule>
    <cfRule type="duplicateValues" dxfId="67" priority="30" stopIfTrue="1"/>
  </conditionalFormatting>
  <conditionalFormatting sqref="H140">
    <cfRule type="cellIs" dxfId="66" priority="27" stopIfTrue="1" operator="equal">
      <formula>42552</formula>
    </cfRule>
    <cfRule type="duplicateValues" dxfId="65" priority="28" stopIfTrue="1"/>
  </conditionalFormatting>
  <conditionalFormatting sqref="H142">
    <cfRule type="cellIs" dxfId="64" priority="25" stopIfTrue="1" operator="equal">
      <formula>42552</formula>
    </cfRule>
    <cfRule type="duplicateValues" dxfId="63" priority="26" stopIfTrue="1"/>
  </conditionalFormatting>
  <conditionalFormatting sqref="H144:H146">
    <cfRule type="cellIs" dxfId="62" priority="23" stopIfTrue="1" operator="equal">
      <formula>42552</formula>
    </cfRule>
    <cfRule type="duplicateValues" dxfId="61" priority="24" stopIfTrue="1"/>
  </conditionalFormatting>
  <conditionalFormatting sqref="H147">
    <cfRule type="cellIs" dxfId="60" priority="21" stopIfTrue="1" operator="equal">
      <formula>42552</formula>
    </cfRule>
    <cfRule type="duplicateValues" dxfId="59" priority="22" stopIfTrue="1"/>
  </conditionalFormatting>
  <conditionalFormatting sqref="H153">
    <cfRule type="cellIs" dxfId="58" priority="19" stopIfTrue="1" operator="equal">
      <formula>42552</formula>
    </cfRule>
    <cfRule type="duplicateValues" dxfId="57" priority="20" stopIfTrue="1"/>
  </conditionalFormatting>
  <conditionalFormatting sqref="H151">
    <cfRule type="cellIs" dxfId="56" priority="17" stopIfTrue="1" operator="equal">
      <formula>42552</formula>
    </cfRule>
    <cfRule type="duplicateValues" dxfId="55" priority="18" stopIfTrue="1"/>
  </conditionalFormatting>
  <conditionalFormatting sqref="H149">
    <cfRule type="cellIs" dxfId="54" priority="15" stopIfTrue="1" operator="equal">
      <formula>42552</formula>
    </cfRule>
    <cfRule type="duplicateValues" dxfId="53" priority="16" stopIfTrue="1"/>
  </conditionalFormatting>
  <conditionalFormatting sqref="H152">
    <cfRule type="cellIs" dxfId="52" priority="13" stopIfTrue="1" operator="equal">
      <formula>42552</formula>
    </cfRule>
    <cfRule type="duplicateValues" dxfId="51" priority="14" stopIfTrue="1"/>
  </conditionalFormatting>
  <conditionalFormatting sqref="H155">
    <cfRule type="cellIs" dxfId="50" priority="11" stopIfTrue="1" operator="equal">
      <formula>42552</formula>
    </cfRule>
    <cfRule type="duplicateValues" dxfId="49" priority="12" stopIfTrue="1"/>
  </conditionalFormatting>
  <conditionalFormatting sqref="H72">
    <cfRule type="cellIs" dxfId="48" priority="9" stopIfTrue="1" operator="equal">
      <formula>42552</formula>
    </cfRule>
    <cfRule type="duplicateValues" dxfId="47" priority="10" stopIfTrue="1"/>
  </conditionalFormatting>
  <conditionalFormatting sqref="H27">
    <cfRule type="cellIs" dxfId="46" priority="7" stopIfTrue="1" operator="equal">
      <formula>42552</formula>
    </cfRule>
    <cfRule type="duplicateValues" dxfId="45" priority="8" stopIfTrue="1"/>
  </conditionalFormatting>
  <conditionalFormatting sqref="H129">
    <cfRule type="cellIs" dxfId="44" priority="5" stopIfTrue="1" operator="equal">
      <formula>42552</formula>
    </cfRule>
    <cfRule type="duplicateValues" dxfId="43" priority="6" stopIfTrue="1"/>
  </conditionalFormatting>
  <conditionalFormatting sqref="H49">
    <cfRule type="cellIs" dxfId="42" priority="3" stopIfTrue="1" operator="equal">
      <formula>42552</formula>
    </cfRule>
    <cfRule type="duplicateValues" dxfId="41" priority="4" stopIfTrue="1"/>
  </conditionalFormatting>
  <conditionalFormatting sqref="H156">
    <cfRule type="cellIs" dxfId="40" priority="1" stopIfTrue="1" operator="equal">
      <formula>42552</formula>
    </cfRule>
    <cfRule type="duplicateValues" dxfId="39" priority="2" stopIfTrue="1"/>
  </conditionalFormatting>
  <printOptions horizontalCentered="1"/>
  <pageMargins left="0.19685039370078741" right="0.19685039370078741" top="0.78740157480314965" bottom="0.78740157480314965" header="0.31496062992125984" footer="0.31496062992125984"/>
  <pageSetup paperSize="9" scale="24" orientation="landscape" r:id="rId1"/>
  <headerFooter>
    <oddHeader>&amp;LCONSERVO SERVIÇOS GERAIS LTDA&amp;CFATURAMENTO DE VALE-ALIMENTAÇÃO E VALE TRANSPORTEPROCURADORIA GERAL DE JUSTIÇA MOTORISTAS&amp;RAGOSTO/2014</oddHeader>
    <oddFooter>&amp;LVIVIANE DE JESUSGERÊNCIA DE CONTRATOS(31)33793894&amp;R&amp;F</oddFooter>
  </headerFooter>
  <colBreaks count="2" manualBreakCount="2">
    <brk id="28" max="1048575" man="1"/>
    <brk id="6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
  <dimension ref="A1:CP105"/>
  <sheetViews>
    <sheetView workbookViewId="0">
      <pane xSplit="3" ySplit="1" topLeftCell="D2" activePane="bottomRight" state="frozen"/>
      <selection pane="topRight" activeCell="D1" sqref="D1"/>
      <selection pane="bottomLeft" activeCell="A2" sqref="A2"/>
      <selection pane="bottomRight" activeCell="BT104" sqref="BT104"/>
    </sheetView>
  </sheetViews>
  <sheetFormatPr defaultRowHeight="12"/>
  <cols>
    <col min="1" max="1" width="9" style="7" customWidth="1"/>
    <col min="2" max="2" width="5.85546875" style="7" bestFit="1" customWidth="1"/>
    <col min="3" max="3" width="31.42578125" style="7" customWidth="1"/>
    <col min="4" max="4" width="2.28515625" style="7" customWidth="1"/>
    <col min="5" max="5" width="6.5703125" style="7" customWidth="1"/>
    <col min="6" max="6" width="2.28515625" style="7" customWidth="1"/>
    <col min="7" max="7" width="2.140625" style="7" customWidth="1"/>
    <col min="8" max="8" width="6.85546875" style="7" customWidth="1"/>
    <col min="9" max="9" width="2.28515625" style="7" customWidth="1"/>
    <col min="10" max="10" width="2.42578125" style="7" customWidth="1"/>
    <col min="11" max="11" width="2.5703125" style="7" customWidth="1"/>
    <col min="12" max="12" width="10.85546875" style="7" customWidth="1"/>
    <col min="13" max="13" width="3.140625" style="7" customWidth="1"/>
    <col min="14" max="14" width="9.28515625" style="7" bestFit="1" customWidth="1"/>
    <col min="15" max="15" width="9.140625" style="7" customWidth="1"/>
    <col min="16" max="16" width="2.5703125" style="7" customWidth="1"/>
    <col min="17" max="17" width="2" style="7" customWidth="1"/>
    <col min="18" max="18" width="9.42578125" style="59" hidden="1" customWidth="1"/>
    <col min="19" max="23" width="9.42578125" style="60" hidden="1" customWidth="1"/>
    <col min="24" max="24" width="9.42578125" style="61" hidden="1" customWidth="1"/>
    <col min="25" max="25" width="9.42578125" style="59" hidden="1" customWidth="1"/>
    <col min="26" max="30" width="9.42578125" style="60" hidden="1" customWidth="1"/>
    <col min="31" max="31" width="9.42578125" style="61" hidden="1" customWidth="1"/>
    <col min="32" max="32" width="9.42578125" style="59" hidden="1" customWidth="1"/>
    <col min="33" max="37" width="9.42578125" style="60" hidden="1" customWidth="1"/>
    <col min="38" max="38" width="9.42578125" style="61" hidden="1" customWidth="1"/>
    <col min="39" max="39" width="9.42578125" style="59" hidden="1" customWidth="1"/>
    <col min="40" max="44" width="9.42578125" style="60" hidden="1" customWidth="1"/>
    <col min="45" max="45" width="9.42578125" style="61" hidden="1" customWidth="1"/>
    <col min="46" max="46" width="9.42578125" style="59" hidden="1" customWidth="1"/>
    <col min="47" max="51" width="9.42578125" style="60" hidden="1" customWidth="1"/>
    <col min="52" max="52" width="9.42578125" style="61" hidden="1" customWidth="1"/>
    <col min="53" max="53" width="9.42578125" style="66" customWidth="1"/>
    <col min="54" max="54" width="9.42578125" style="75" customWidth="1"/>
    <col min="55" max="55" width="9.42578125" style="76" customWidth="1"/>
    <col min="56" max="56" width="9.42578125" style="66" customWidth="1"/>
    <col min="57" max="57" width="9.42578125" style="95" customWidth="1"/>
    <col min="58" max="58" width="9.42578125" style="75" customWidth="1"/>
    <col min="59" max="59" width="9.42578125" style="76" customWidth="1"/>
    <col min="60" max="60" width="9.42578125" style="66" customWidth="1"/>
    <col min="61" max="61" width="9.42578125" style="95" customWidth="1"/>
    <col min="62" max="62" width="9.42578125" style="75" customWidth="1"/>
    <col min="63" max="63" width="9.42578125" style="76" customWidth="1"/>
    <col min="64" max="64" width="9.42578125" style="66" customWidth="1"/>
    <col min="65" max="65" width="9.42578125" style="95" customWidth="1"/>
    <col min="66" max="66" width="9.42578125" style="66" customWidth="1"/>
    <col min="67" max="67" width="11.85546875" style="66" bestFit="1" customWidth="1"/>
    <col min="68" max="68" width="2.42578125" style="59" customWidth="1"/>
    <col min="69" max="69" width="8" style="60" customWidth="1"/>
    <col min="70" max="70" width="8.42578125" style="60" customWidth="1"/>
    <col min="71" max="71" width="8.85546875" style="60" bestFit="1" customWidth="1"/>
    <col min="72" max="72" width="8.5703125" style="96" bestFit="1" customWidth="1"/>
    <col min="73" max="73" width="2.42578125" style="59" hidden="1" customWidth="1"/>
    <col min="74" max="74" width="7.7109375" style="60" hidden="1" customWidth="1"/>
    <col min="75" max="75" width="8.85546875" style="60" hidden="1" customWidth="1"/>
    <col min="76" max="76" width="9.28515625" style="60" hidden="1" customWidth="1"/>
    <col min="77" max="77" width="9.140625" style="60" hidden="1" customWidth="1"/>
    <col min="78" max="78" width="8.5703125" style="61" hidden="1" customWidth="1"/>
    <col min="79" max="79" width="2.42578125" style="59" customWidth="1"/>
    <col min="80" max="80" width="7.7109375" style="60" customWidth="1"/>
    <col min="81" max="81" width="8.85546875" style="60" bestFit="1" customWidth="1"/>
    <col min="82" max="82" width="9.28515625" style="60" bestFit="1" customWidth="1"/>
    <col min="83" max="83" width="9.140625" style="60" bestFit="1" customWidth="1"/>
    <col min="84" max="84" width="8.5703125" style="61" bestFit="1" customWidth="1"/>
    <col min="85" max="85" width="8" style="7" bestFit="1" customWidth="1"/>
    <col min="86" max="86" width="7.140625" style="7" bestFit="1" customWidth="1"/>
    <col min="87" max="94" width="2.42578125" style="7" customWidth="1"/>
    <col min="95" max="16384" width="9.140625" style="7"/>
  </cols>
  <sheetData>
    <row r="1" spans="1:94" s="2" customFormat="1">
      <c r="A1" s="1" t="s">
        <v>100</v>
      </c>
      <c r="B1" s="1" t="s">
        <v>101</v>
      </c>
      <c r="C1" s="1" t="s">
        <v>102</v>
      </c>
      <c r="D1" s="1" t="s">
        <v>104</v>
      </c>
      <c r="E1" s="1" t="s">
        <v>105</v>
      </c>
      <c r="F1" s="1" t="s">
        <v>1520</v>
      </c>
      <c r="G1" s="1" t="s">
        <v>1521</v>
      </c>
      <c r="H1" s="1" t="s">
        <v>1522</v>
      </c>
      <c r="I1" s="1" t="s">
        <v>103</v>
      </c>
      <c r="J1" s="1" t="s">
        <v>1523</v>
      </c>
      <c r="K1" s="1" t="s">
        <v>107</v>
      </c>
      <c r="L1" s="1" t="s">
        <v>108</v>
      </c>
      <c r="M1" s="1" t="s">
        <v>1524</v>
      </c>
      <c r="N1" s="1" t="s">
        <v>106</v>
      </c>
      <c r="O1" s="1" t="s">
        <v>109</v>
      </c>
      <c r="P1" s="1" t="s">
        <v>110</v>
      </c>
      <c r="Q1" s="1" t="s">
        <v>2243</v>
      </c>
      <c r="R1" s="51" t="s">
        <v>1525</v>
      </c>
      <c r="S1" s="52" t="s">
        <v>1526</v>
      </c>
      <c r="T1" s="52" t="s">
        <v>2361</v>
      </c>
      <c r="U1" s="52" t="s">
        <v>1527</v>
      </c>
      <c r="V1" s="52" t="s">
        <v>1528</v>
      </c>
      <c r="W1" s="52" t="s">
        <v>1529</v>
      </c>
      <c r="X1" s="53" t="s">
        <v>1530</v>
      </c>
      <c r="Y1" s="51" t="s">
        <v>1531</v>
      </c>
      <c r="Z1" s="52" t="s">
        <v>1532</v>
      </c>
      <c r="AA1" s="52" t="s">
        <v>2362</v>
      </c>
      <c r="AB1" s="52" t="s">
        <v>1533</v>
      </c>
      <c r="AC1" s="52" t="s">
        <v>1534</v>
      </c>
      <c r="AD1" s="52" t="s">
        <v>1535</v>
      </c>
      <c r="AE1" s="53" t="s">
        <v>1536</v>
      </c>
      <c r="AF1" s="51" t="s">
        <v>1537</v>
      </c>
      <c r="AG1" s="52" t="s">
        <v>1538</v>
      </c>
      <c r="AH1" s="52" t="s">
        <v>2363</v>
      </c>
      <c r="AI1" s="52" t="s">
        <v>1539</v>
      </c>
      <c r="AJ1" s="52" t="s">
        <v>1540</v>
      </c>
      <c r="AK1" s="52" t="s">
        <v>1541</v>
      </c>
      <c r="AL1" s="53" t="s">
        <v>1542</v>
      </c>
      <c r="AM1" s="51" t="s">
        <v>1543</v>
      </c>
      <c r="AN1" s="52" t="s">
        <v>1544</v>
      </c>
      <c r="AO1" s="52" t="s">
        <v>2364</v>
      </c>
      <c r="AP1" s="52" t="s">
        <v>1545</v>
      </c>
      <c r="AQ1" s="52" t="s">
        <v>1546</v>
      </c>
      <c r="AR1" s="52" t="s">
        <v>1547</v>
      </c>
      <c r="AS1" s="53" t="s">
        <v>1548</v>
      </c>
      <c r="AT1" s="51" t="s">
        <v>1549</v>
      </c>
      <c r="AU1" s="52" t="s">
        <v>1550</v>
      </c>
      <c r="AV1" s="52" t="s">
        <v>2365</v>
      </c>
      <c r="AW1" s="52" t="s">
        <v>1551</v>
      </c>
      <c r="AX1" s="52" t="s">
        <v>1552</v>
      </c>
      <c r="AY1" s="52" t="s">
        <v>1553</v>
      </c>
      <c r="AZ1" s="53" t="s">
        <v>1554</v>
      </c>
      <c r="BA1" s="83" t="s">
        <v>3136</v>
      </c>
      <c r="BB1" s="71" t="s">
        <v>2388</v>
      </c>
      <c r="BC1" s="72"/>
      <c r="BD1" s="83" t="s">
        <v>2389</v>
      </c>
      <c r="BE1" s="84"/>
      <c r="BF1" s="71" t="s">
        <v>2393</v>
      </c>
      <c r="BG1" s="72"/>
      <c r="BH1" s="83" t="s">
        <v>2394</v>
      </c>
      <c r="BI1" s="84"/>
      <c r="BJ1" s="71" t="s">
        <v>2398</v>
      </c>
      <c r="BK1" s="72"/>
      <c r="BL1" s="83" t="s">
        <v>2399</v>
      </c>
      <c r="BM1" s="84"/>
      <c r="BN1" s="83"/>
      <c r="BO1" s="83"/>
      <c r="BP1" s="51" t="s">
        <v>1555</v>
      </c>
      <c r="BQ1" s="52" t="s">
        <v>1556</v>
      </c>
      <c r="BR1" s="52" t="s">
        <v>1558</v>
      </c>
      <c r="BS1" s="52" t="s">
        <v>1557</v>
      </c>
      <c r="BT1" s="53" t="s">
        <v>1559</v>
      </c>
      <c r="BU1" s="51" t="s">
        <v>3122</v>
      </c>
      <c r="BV1" s="52" t="s">
        <v>3123</v>
      </c>
      <c r="BW1" s="52" t="s">
        <v>3124</v>
      </c>
      <c r="BX1" s="52" t="s">
        <v>3125</v>
      </c>
      <c r="BY1" s="52" t="s">
        <v>3126</v>
      </c>
      <c r="BZ1" s="53" t="s">
        <v>3127</v>
      </c>
      <c r="CA1" s="51" t="s">
        <v>3128</v>
      </c>
      <c r="CB1" s="52" t="s">
        <v>3129</v>
      </c>
      <c r="CC1" s="52" t="s">
        <v>3130</v>
      </c>
      <c r="CD1" s="52" t="s">
        <v>3131</v>
      </c>
      <c r="CE1" s="52" t="s">
        <v>3132</v>
      </c>
      <c r="CF1" s="53" t="s">
        <v>3133</v>
      </c>
      <c r="CG1" s="1" t="s">
        <v>1560</v>
      </c>
      <c r="CH1" s="1" t="s">
        <v>1561</v>
      </c>
      <c r="CI1" s="1" t="s">
        <v>2247</v>
      </c>
      <c r="CJ1" s="1" t="s">
        <v>2248</v>
      </c>
      <c r="CK1" s="1" t="s">
        <v>2249</v>
      </c>
      <c r="CL1" s="1" t="s">
        <v>2250</v>
      </c>
      <c r="CM1" s="1" t="s">
        <v>2251</v>
      </c>
      <c r="CN1" s="1" t="s">
        <v>2252</v>
      </c>
      <c r="CO1" s="1" t="s">
        <v>2253</v>
      </c>
      <c r="CP1" s="1" t="s">
        <v>2254</v>
      </c>
    </row>
    <row r="2" spans="1:94">
      <c r="A2" s="3">
        <v>56181</v>
      </c>
      <c r="B2" s="4" t="s">
        <v>187</v>
      </c>
      <c r="C2" s="4" t="s">
        <v>83</v>
      </c>
      <c r="D2" s="4" t="s">
        <v>189</v>
      </c>
      <c r="E2" s="4" t="s">
        <v>190</v>
      </c>
      <c r="F2" s="4" t="s">
        <v>1359</v>
      </c>
      <c r="G2" s="4" t="s">
        <v>1360</v>
      </c>
      <c r="H2" s="4" t="s">
        <v>1361</v>
      </c>
      <c r="I2" s="4" t="s">
        <v>188</v>
      </c>
      <c r="J2" s="4" t="s">
        <v>1362</v>
      </c>
      <c r="K2" s="3">
        <v>57</v>
      </c>
      <c r="L2" s="4" t="s">
        <v>0</v>
      </c>
      <c r="M2" s="4" t="s">
        <v>329</v>
      </c>
      <c r="N2" s="5">
        <v>2110.38</v>
      </c>
      <c r="O2" s="6">
        <v>40852</v>
      </c>
      <c r="P2" s="3"/>
      <c r="Q2" s="4" t="s">
        <v>2072</v>
      </c>
      <c r="R2" s="54"/>
      <c r="S2" s="69"/>
      <c r="T2" s="55"/>
      <c r="U2" s="55"/>
      <c r="V2" s="55"/>
      <c r="W2" s="55"/>
      <c r="X2" s="56"/>
      <c r="Y2" s="54"/>
      <c r="Z2" s="69"/>
      <c r="AA2" s="55"/>
      <c r="AB2" s="55"/>
      <c r="AC2" s="55"/>
      <c r="AD2" s="55"/>
      <c r="AE2" s="56"/>
      <c r="AF2" s="54"/>
      <c r="AG2" s="69"/>
      <c r="AH2" s="55"/>
      <c r="AI2" s="55"/>
      <c r="AJ2" s="55"/>
      <c r="AK2" s="55"/>
      <c r="AL2" s="56"/>
      <c r="AM2" s="54"/>
      <c r="AN2" s="69"/>
      <c r="AO2" s="55"/>
      <c r="AP2" s="55"/>
      <c r="AQ2" s="55"/>
      <c r="AR2" s="55"/>
      <c r="AS2" s="56"/>
      <c r="AT2" s="54"/>
      <c r="AU2" s="69"/>
      <c r="AV2" s="55"/>
      <c r="AW2" s="55"/>
      <c r="AX2" s="55"/>
      <c r="AY2" s="55"/>
      <c r="AZ2" s="56"/>
      <c r="BA2" s="65">
        <f>X2+AE2+AL2+AS2+AZ2</f>
        <v>0</v>
      </c>
      <c r="BB2" s="73"/>
      <c r="BC2" s="74"/>
      <c r="BD2" s="65"/>
      <c r="BE2" s="94"/>
      <c r="BF2" s="73"/>
      <c r="BG2" s="74"/>
      <c r="BH2" s="65"/>
      <c r="BI2" s="94"/>
      <c r="BJ2" s="73"/>
      <c r="BK2" s="74"/>
      <c r="BL2" s="65"/>
      <c r="BM2" s="94"/>
      <c r="BN2" s="65">
        <f>BE2+BI2+BM2</f>
        <v>0</v>
      </c>
      <c r="BO2" s="65" t="b">
        <f>BN2=BA2</f>
        <v>1</v>
      </c>
      <c r="BP2" s="70" t="s">
        <v>708</v>
      </c>
      <c r="BQ2" s="69" t="s">
        <v>1172</v>
      </c>
      <c r="BR2" s="55">
        <v>21</v>
      </c>
      <c r="BS2" s="57">
        <v>9.8000000000000007</v>
      </c>
      <c r="BT2" s="98">
        <v>205.8</v>
      </c>
      <c r="BU2" s="70" t="s">
        <v>3134</v>
      </c>
      <c r="BV2" s="69" t="s">
        <v>3135</v>
      </c>
      <c r="BW2" s="57">
        <v>0.01</v>
      </c>
      <c r="BX2" s="55"/>
      <c r="BY2" s="55">
        <v>1</v>
      </c>
      <c r="BZ2" s="58">
        <v>0.01</v>
      </c>
      <c r="CA2" s="70"/>
      <c r="CB2" s="69"/>
      <c r="CC2" s="55"/>
      <c r="CD2" s="55"/>
      <c r="CE2" s="55"/>
      <c r="CF2" s="56"/>
      <c r="CG2" s="3"/>
      <c r="CH2" s="5">
        <v>41.16</v>
      </c>
      <c r="CI2" s="3"/>
      <c r="CJ2" s="3"/>
      <c r="CK2" s="3"/>
      <c r="CL2" s="3"/>
      <c r="CM2" s="3"/>
      <c r="CN2" s="3"/>
      <c r="CO2" s="3"/>
      <c r="CP2" s="3"/>
    </row>
    <row r="3" spans="1:94">
      <c r="A3" s="3">
        <v>56138</v>
      </c>
      <c r="B3" s="4" t="s">
        <v>1363</v>
      </c>
      <c r="C3" s="4" t="s">
        <v>89</v>
      </c>
      <c r="D3" s="4" t="s">
        <v>216</v>
      </c>
      <c r="E3" s="4" t="s">
        <v>217</v>
      </c>
      <c r="F3" s="4" t="s">
        <v>1364</v>
      </c>
      <c r="G3" s="4" t="s">
        <v>1365</v>
      </c>
      <c r="H3" s="4" t="s">
        <v>1366</v>
      </c>
      <c r="I3" s="4" t="s">
        <v>188</v>
      </c>
      <c r="J3" s="4" t="s">
        <v>1362</v>
      </c>
      <c r="K3" s="3">
        <v>57</v>
      </c>
      <c r="L3" s="4" t="s">
        <v>0</v>
      </c>
      <c r="M3" s="4" t="s">
        <v>123</v>
      </c>
      <c r="N3" s="5">
        <v>2110.38</v>
      </c>
      <c r="O3" s="6">
        <v>40852</v>
      </c>
      <c r="P3" s="3"/>
      <c r="Q3" s="4" t="s">
        <v>2072</v>
      </c>
      <c r="R3" s="54"/>
      <c r="S3" s="69"/>
      <c r="T3" s="55"/>
      <c r="U3" s="55"/>
      <c r="V3" s="55"/>
      <c r="W3" s="55"/>
      <c r="X3" s="56"/>
      <c r="Y3" s="54"/>
      <c r="Z3" s="69"/>
      <c r="AA3" s="55"/>
      <c r="AB3" s="55"/>
      <c r="AC3" s="55"/>
      <c r="AD3" s="55"/>
      <c r="AE3" s="56"/>
      <c r="AF3" s="54"/>
      <c r="AG3" s="69"/>
      <c r="AH3" s="55"/>
      <c r="AI3" s="55"/>
      <c r="AJ3" s="55"/>
      <c r="AK3" s="55"/>
      <c r="AL3" s="56"/>
      <c r="AM3" s="54"/>
      <c r="AN3" s="69"/>
      <c r="AO3" s="55"/>
      <c r="AP3" s="55"/>
      <c r="AQ3" s="55"/>
      <c r="AR3" s="55"/>
      <c r="AS3" s="56"/>
      <c r="AT3" s="54"/>
      <c r="AU3" s="69"/>
      <c r="AV3" s="55"/>
      <c r="AW3" s="55"/>
      <c r="AX3" s="55"/>
      <c r="AY3" s="55"/>
      <c r="AZ3" s="56"/>
      <c r="BA3" s="65">
        <f t="shared" ref="BA3:BA66" si="0">X3+AE3+AL3+AS3+AZ3</f>
        <v>0</v>
      </c>
      <c r="BB3" s="73"/>
      <c r="BC3" s="74"/>
      <c r="BD3" s="65"/>
      <c r="BE3" s="94"/>
      <c r="BF3" s="73"/>
      <c r="BG3" s="74"/>
      <c r="BH3" s="65"/>
      <c r="BI3" s="94"/>
      <c r="BJ3" s="73"/>
      <c r="BK3" s="74"/>
      <c r="BL3" s="65"/>
      <c r="BM3" s="94"/>
      <c r="BN3" s="65">
        <f t="shared" ref="BN3:BN66" si="1">BE3+BI3+BM3</f>
        <v>0</v>
      </c>
      <c r="BO3" s="65" t="b">
        <f t="shared" ref="BO3:BO66" si="2">BN3=BA3</f>
        <v>1</v>
      </c>
      <c r="BP3" s="70" t="s">
        <v>708</v>
      </c>
      <c r="BQ3" s="69" t="s">
        <v>1172</v>
      </c>
      <c r="BR3" s="55">
        <v>20</v>
      </c>
      <c r="BS3" s="57">
        <v>9.8000000000000007</v>
      </c>
      <c r="BT3" s="98">
        <v>196</v>
      </c>
      <c r="BU3" s="70" t="s">
        <v>3134</v>
      </c>
      <c r="BV3" s="69" t="s">
        <v>3135</v>
      </c>
      <c r="BW3" s="57">
        <v>0.01</v>
      </c>
      <c r="BX3" s="55"/>
      <c r="BY3" s="55">
        <v>1</v>
      </c>
      <c r="BZ3" s="58">
        <v>0.01</v>
      </c>
      <c r="CA3" s="70"/>
      <c r="CB3" s="69"/>
      <c r="CC3" s="55"/>
      <c r="CD3" s="55"/>
      <c r="CE3" s="55"/>
      <c r="CF3" s="56"/>
      <c r="CG3" s="3"/>
      <c r="CH3" s="5">
        <v>39.200000000000003</v>
      </c>
      <c r="CI3" s="3"/>
      <c r="CJ3" s="3"/>
      <c r="CK3" s="3"/>
      <c r="CL3" s="3"/>
      <c r="CM3" s="3"/>
      <c r="CN3" s="3"/>
      <c r="CO3" s="3"/>
      <c r="CP3" s="3"/>
    </row>
    <row r="4" spans="1:94">
      <c r="A4" s="3">
        <v>67991</v>
      </c>
      <c r="B4" s="4" t="s">
        <v>2205</v>
      </c>
      <c r="C4" s="4" t="s">
        <v>2206</v>
      </c>
      <c r="D4" s="4" t="s">
        <v>3076</v>
      </c>
      <c r="E4" s="4" t="s">
        <v>3077</v>
      </c>
      <c r="F4" s="4" t="s">
        <v>3075</v>
      </c>
      <c r="G4" s="4" t="s">
        <v>3106</v>
      </c>
      <c r="H4" s="4" t="s">
        <v>3107</v>
      </c>
      <c r="I4" s="4" t="s">
        <v>188</v>
      </c>
      <c r="J4" s="4" t="s">
        <v>1362</v>
      </c>
      <c r="K4" s="3">
        <v>57</v>
      </c>
      <c r="L4" s="4" t="s">
        <v>0</v>
      </c>
      <c r="M4" s="4" t="s">
        <v>167</v>
      </c>
      <c r="N4" s="5">
        <v>2289.7600000000002</v>
      </c>
      <c r="O4" s="6">
        <v>41491</v>
      </c>
      <c r="P4" s="3"/>
      <c r="Q4" s="4" t="s">
        <v>2072</v>
      </c>
      <c r="R4" s="54">
        <v>14</v>
      </c>
      <c r="S4" s="69" t="s">
        <v>3043</v>
      </c>
      <c r="T4" s="55"/>
      <c r="U4" s="57">
        <v>3.5</v>
      </c>
      <c r="V4" s="55">
        <v>15</v>
      </c>
      <c r="W4" s="55">
        <v>30</v>
      </c>
      <c r="X4" s="58">
        <v>105</v>
      </c>
      <c r="Y4" s="54"/>
      <c r="Z4" s="69"/>
      <c r="AA4" s="55"/>
      <c r="AB4" s="55"/>
      <c r="AC4" s="55"/>
      <c r="AD4" s="55"/>
      <c r="AE4" s="56"/>
      <c r="AF4" s="54"/>
      <c r="AG4" s="69"/>
      <c r="AH4" s="55"/>
      <c r="AI4" s="55"/>
      <c r="AJ4" s="55"/>
      <c r="AK4" s="55"/>
      <c r="AL4" s="56"/>
      <c r="AM4" s="54"/>
      <c r="AN4" s="69"/>
      <c r="AO4" s="55"/>
      <c r="AP4" s="55"/>
      <c r="AQ4" s="55"/>
      <c r="AR4" s="55"/>
      <c r="AS4" s="56"/>
      <c r="AT4" s="54"/>
      <c r="AU4" s="69"/>
      <c r="AV4" s="55"/>
      <c r="AW4" s="55"/>
      <c r="AX4" s="55"/>
      <c r="AY4" s="55"/>
      <c r="AZ4" s="56"/>
      <c r="BA4" s="65">
        <f t="shared" si="0"/>
        <v>105</v>
      </c>
      <c r="BB4" s="73"/>
      <c r="BC4" s="74"/>
      <c r="BD4" s="65"/>
      <c r="BE4" s="94"/>
      <c r="BF4" s="73">
        <f>VLOOKUP($C4,'REL. VT'!$C:AF,30,0)</f>
        <v>15</v>
      </c>
      <c r="BG4" s="74">
        <f>VLOOKUP($C4,'REL. VT'!$C:AG,31,0)</f>
        <v>2</v>
      </c>
      <c r="BH4" s="65">
        <f>VLOOKUP($C4,'REL. VT'!$C:AH,32,0)</f>
        <v>3.5</v>
      </c>
      <c r="BI4" s="97">
        <f>BF4*BG4*BH4</f>
        <v>105</v>
      </c>
      <c r="BJ4" s="73"/>
      <c r="BK4" s="74"/>
      <c r="BL4" s="65"/>
      <c r="BM4" s="94"/>
      <c r="BN4" s="65">
        <f t="shared" si="1"/>
        <v>105</v>
      </c>
      <c r="BO4" s="65" t="b">
        <f t="shared" si="2"/>
        <v>1</v>
      </c>
      <c r="BP4" s="70" t="s">
        <v>708</v>
      </c>
      <c r="BQ4" s="69" t="s">
        <v>1172</v>
      </c>
      <c r="BR4" s="55">
        <v>20</v>
      </c>
      <c r="BS4" s="57">
        <v>12.7</v>
      </c>
      <c r="BT4" s="98">
        <v>254</v>
      </c>
      <c r="BU4" s="70" t="s">
        <v>3134</v>
      </c>
      <c r="BV4" s="69" t="s">
        <v>3135</v>
      </c>
      <c r="BW4" s="57">
        <v>0.01</v>
      </c>
      <c r="BX4" s="55"/>
      <c r="BY4" s="55">
        <v>1</v>
      </c>
      <c r="BZ4" s="58">
        <v>0.01</v>
      </c>
      <c r="CA4" s="70"/>
      <c r="CB4" s="69"/>
      <c r="CC4" s="55"/>
      <c r="CD4" s="55"/>
      <c r="CE4" s="55"/>
      <c r="CF4" s="56"/>
      <c r="CG4" s="5">
        <v>105</v>
      </c>
      <c r="CH4" s="5">
        <v>50.8</v>
      </c>
      <c r="CI4" s="3"/>
      <c r="CJ4" s="3"/>
      <c r="CK4" s="3"/>
      <c r="CL4" s="3"/>
      <c r="CM4" s="3"/>
      <c r="CN4" s="3"/>
      <c r="CO4" s="3"/>
      <c r="CP4" s="3"/>
    </row>
    <row r="5" spans="1:94">
      <c r="A5" s="3">
        <v>61599</v>
      </c>
      <c r="B5" s="4" t="s">
        <v>1367</v>
      </c>
      <c r="C5" s="4" t="s">
        <v>1188</v>
      </c>
      <c r="D5" s="4" t="s">
        <v>1189</v>
      </c>
      <c r="E5" s="4" t="s">
        <v>1190</v>
      </c>
      <c r="F5" s="4" t="s">
        <v>1368</v>
      </c>
      <c r="G5" s="4" t="s">
        <v>1369</v>
      </c>
      <c r="H5" s="4" t="s">
        <v>1370</v>
      </c>
      <c r="I5" s="4" t="s">
        <v>188</v>
      </c>
      <c r="J5" s="4" t="s">
        <v>1362</v>
      </c>
      <c r="K5" s="3">
        <v>57</v>
      </c>
      <c r="L5" s="4" t="s">
        <v>0</v>
      </c>
      <c r="M5" s="4" t="s">
        <v>193</v>
      </c>
      <c r="N5" s="5">
        <v>2110.38</v>
      </c>
      <c r="O5" s="6">
        <v>41183</v>
      </c>
      <c r="P5" s="3"/>
      <c r="Q5" s="4" t="s">
        <v>2072</v>
      </c>
      <c r="R5" s="54"/>
      <c r="S5" s="69"/>
      <c r="T5" s="55"/>
      <c r="U5" s="55"/>
      <c r="V5" s="55"/>
      <c r="W5" s="55"/>
      <c r="X5" s="56"/>
      <c r="Y5" s="54"/>
      <c r="Z5" s="69"/>
      <c r="AA5" s="55"/>
      <c r="AB5" s="55"/>
      <c r="AC5" s="55"/>
      <c r="AD5" s="55"/>
      <c r="AE5" s="56"/>
      <c r="AF5" s="54"/>
      <c r="AG5" s="69"/>
      <c r="AH5" s="55"/>
      <c r="AI5" s="55"/>
      <c r="AJ5" s="55"/>
      <c r="AK5" s="55"/>
      <c r="AL5" s="56"/>
      <c r="AM5" s="54"/>
      <c r="AN5" s="69"/>
      <c r="AO5" s="55"/>
      <c r="AP5" s="55"/>
      <c r="AQ5" s="55"/>
      <c r="AR5" s="55"/>
      <c r="AS5" s="56"/>
      <c r="AT5" s="54"/>
      <c r="AU5" s="69"/>
      <c r="AV5" s="55"/>
      <c r="AW5" s="55"/>
      <c r="AX5" s="55"/>
      <c r="AY5" s="55"/>
      <c r="AZ5" s="56"/>
      <c r="BA5" s="65">
        <f t="shared" si="0"/>
        <v>0</v>
      </c>
      <c r="BB5" s="73"/>
      <c r="BC5" s="74"/>
      <c r="BD5" s="65"/>
      <c r="BE5" s="94"/>
      <c r="BF5" s="73"/>
      <c r="BG5" s="74"/>
      <c r="BH5" s="65"/>
      <c r="BI5" s="94"/>
      <c r="BJ5" s="73"/>
      <c r="BK5" s="74"/>
      <c r="BL5" s="65"/>
      <c r="BM5" s="94"/>
      <c r="BN5" s="65">
        <f t="shared" si="1"/>
        <v>0</v>
      </c>
      <c r="BO5" s="65" t="b">
        <f t="shared" si="2"/>
        <v>1</v>
      </c>
      <c r="BP5" s="70" t="s">
        <v>708</v>
      </c>
      <c r="BQ5" s="69" t="s">
        <v>1172</v>
      </c>
      <c r="BR5" s="55">
        <v>21</v>
      </c>
      <c r="BS5" s="57">
        <v>9.8000000000000007</v>
      </c>
      <c r="BT5" s="98">
        <v>205.8</v>
      </c>
      <c r="BU5" s="70" t="s">
        <v>3134</v>
      </c>
      <c r="BV5" s="69" t="s">
        <v>3135</v>
      </c>
      <c r="BW5" s="57">
        <v>0.01</v>
      </c>
      <c r="BX5" s="55"/>
      <c r="BY5" s="55">
        <v>1</v>
      </c>
      <c r="BZ5" s="58">
        <v>0.01</v>
      </c>
      <c r="CA5" s="70"/>
      <c r="CB5" s="69"/>
      <c r="CC5" s="55"/>
      <c r="CD5" s="55"/>
      <c r="CE5" s="55"/>
      <c r="CF5" s="56"/>
      <c r="CG5" s="3"/>
      <c r="CH5" s="5">
        <v>41.16</v>
      </c>
      <c r="CI5" s="3"/>
      <c r="CJ5" s="3"/>
      <c r="CK5" s="3"/>
      <c r="CL5" s="3"/>
      <c r="CM5" s="3"/>
      <c r="CN5" s="3"/>
      <c r="CO5" s="3"/>
      <c r="CP5" s="3"/>
    </row>
    <row r="6" spans="1:94">
      <c r="A6" s="3">
        <v>67633</v>
      </c>
      <c r="B6" s="4" t="s">
        <v>2210</v>
      </c>
      <c r="C6" s="4" t="s">
        <v>2184</v>
      </c>
      <c r="D6" s="4" t="s">
        <v>3009</v>
      </c>
      <c r="E6" s="4" t="s">
        <v>3054</v>
      </c>
      <c r="F6" s="4" t="s">
        <v>3008</v>
      </c>
      <c r="G6" s="4" t="s">
        <v>3028</v>
      </c>
      <c r="H6" s="4" t="s">
        <v>3029</v>
      </c>
      <c r="I6" s="4" t="s">
        <v>188</v>
      </c>
      <c r="J6" s="4" t="s">
        <v>1362</v>
      </c>
      <c r="K6" s="3">
        <v>57</v>
      </c>
      <c r="L6" s="4" t="s">
        <v>0</v>
      </c>
      <c r="M6" s="4" t="s">
        <v>118</v>
      </c>
      <c r="N6" s="5">
        <v>2289.7600000000002</v>
      </c>
      <c r="O6" s="6">
        <v>41472</v>
      </c>
      <c r="P6" s="3"/>
      <c r="Q6" s="4" t="s">
        <v>2072</v>
      </c>
      <c r="R6" s="54"/>
      <c r="S6" s="69"/>
      <c r="T6" s="55"/>
      <c r="U6" s="55"/>
      <c r="V6" s="55"/>
      <c r="W6" s="55"/>
      <c r="X6" s="56"/>
      <c r="Y6" s="54"/>
      <c r="Z6" s="69"/>
      <c r="AA6" s="55"/>
      <c r="AB6" s="55"/>
      <c r="AC6" s="55"/>
      <c r="AD6" s="55"/>
      <c r="AE6" s="56"/>
      <c r="AF6" s="54"/>
      <c r="AG6" s="69"/>
      <c r="AH6" s="55"/>
      <c r="AI6" s="55"/>
      <c r="AJ6" s="55"/>
      <c r="AK6" s="55"/>
      <c r="AL6" s="56"/>
      <c r="AM6" s="54"/>
      <c r="AN6" s="69"/>
      <c r="AO6" s="55"/>
      <c r="AP6" s="55"/>
      <c r="AQ6" s="55"/>
      <c r="AR6" s="55"/>
      <c r="AS6" s="56"/>
      <c r="AT6" s="54"/>
      <c r="AU6" s="69"/>
      <c r="AV6" s="55"/>
      <c r="AW6" s="55"/>
      <c r="AX6" s="55"/>
      <c r="AY6" s="55"/>
      <c r="AZ6" s="56"/>
      <c r="BA6" s="65">
        <f t="shared" si="0"/>
        <v>0</v>
      </c>
      <c r="BB6" s="73"/>
      <c r="BC6" s="74"/>
      <c r="BD6" s="65"/>
      <c r="BE6" s="94"/>
      <c r="BF6" s="73"/>
      <c r="BG6" s="74"/>
      <c r="BH6" s="65"/>
      <c r="BI6" s="94"/>
      <c r="BJ6" s="73"/>
      <c r="BK6" s="74"/>
      <c r="BL6" s="65"/>
      <c r="BM6" s="94"/>
      <c r="BN6" s="65">
        <f t="shared" si="1"/>
        <v>0</v>
      </c>
      <c r="BO6" s="65" t="b">
        <f t="shared" si="2"/>
        <v>1</v>
      </c>
      <c r="BP6" s="70" t="s">
        <v>708</v>
      </c>
      <c r="BQ6" s="69" t="s">
        <v>1172</v>
      </c>
      <c r="BR6" s="55">
        <v>20</v>
      </c>
      <c r="BS6" s="57">
        <v>9.8000000000000007</v>
      </c>
      <c r="BT6" s="98">
        <v>196</v>
      </c>
      <c r="BU6" s="70" t="s">
        <v>3134</v>
      </c>
      <c r="BV6" s="69" t="s">
        <v>3135</v>
      </c>
      <c r="BW6" s="57">
        <v>0.01</v>
      </c>
      <c r="BX6" s="55"/>
      <c r="BY6" s="55">
        <v>1</v>
      </c>
      <c r="BZ6" s="58">
        <v>0.01</v>
      </c>
      <c r="CA6" s="70"/>
      <c r="CB6" s="69"/>
      <c r="CC6" s="55"/>
      <c r="CD6" s="55"/>
      <c r="CE6" s="55"/>
      <c r="CF6" s="56"/>
      <c r="CG6" s="3"/>
      <c r="CH6" s="5">
        <v>39.200000000000003</v>
      </c>
      <c r="CI6" s="3"/>
      <c r="CJ6" s="3"/>
      <c r="CK6" s="3"/>
      <c r="CL6" s="3"/>
      <c r="CM6" s="3"/>
      <c r="CN6" s="3"/>
      <c r="CO6" s="3"/>
      <c r="CP6" s="3"/>
    </row>
    <row r="7" spans="1:94">
      <c r="A7" s="3">
        <v>56580</v>
      </c>
      <c r="B7" s="4" t="s">
        <v>1371</v>
      </c>
      <c r="C7" s="4" t="s">
        <v>87</v>
      </c>
      <c r="D7" s="4" t="s">
        <v>298</v>
      </c>
      <c r="E7" s="4" t="s">
        <v>299</v>
      </c>
      <c r="F7" s="4" t="s">
        <v>1372</v>
      </c>
      <c r="G7" s="4" t="s">
        <v>1373</v>
      </c>
      <c r="H7" s="4" t="s">
        <v>1374</v>
      </c>
      <c r="I7" s="4" t="s">
        <v>188</v>
      </c>
      <c r="J7" s="4" t="s">
        <v>1362</v>
      </c>
      <c r="K7" s="3">
        <v>57</v>
      </c>
      <c r="L7" s="4" t="s">
        <v>0</v>
      </c>
      <c r="M7" s="4" t="s">
        <v>183</v>
      </c>
      <c r="N7" s="5">
        <v>2110.38</v>
      </c>
      <c r="O7" s="6">
        <v>40864</v>
      </c>
      <c r="P7" s="3"/>
      <c r="Q7" s="4" t="s">
        <v>2072</v>
      </c>
      <c r="R7" s="54"/>
      <c r="S7" s="69"/>
      <c r="T7" s="55"/>
      <c r="U7" s="55"/>
      <c r="V7" s="55"/>
      <c r="W7" s="55"/>
      <c r="X7" s="56"/>
      <c r="Y7" s="54"/>
      <c r="Z7" s="69"/>
      <c r="AA7" s="55"/>
      <c r="AB7" s="55"/>
      <c r="AC7" s="55"/>
      <c r="AD7" s="55"/>
      <c r="AE7" s="56"/>
      <c r="AF7" s="54"/>
      <c r="AG7" s="69"/>
      <c r="AH7" s="55"/>
      <c r="AI7" s="55"/>
      <c r="AJ7" s="55"/>
      <c r="AK7" s="55"/>
      <c r="AL7" s="56"/>
      <c r="AM7" s="54"/>
      <c r="AN7" s="69"/>
      <c r="AO7" s="55"/>
      <c r="AP7" s="55"/>
      <c r="AQ7" s="55"/>
      <c r="AR7" s="55"/>
      <c r="AS7" s="56"/>
      <c r="AT7" s="54"/>
      <c r="AU7" s="69"/>
      <c r="AV7" s="55"/>
      <c r="AW7" s="55"/>
      <c r="AX7" s="55"/>
      <c r="AY7" s="55"/>
      <c r="AZ7" s="56"/>
      <c r="BA7" s="65">
        <f t="shared" si="0"/>
        <v>0</v>
      </c>
      <c r="BB7" s="73"/>
      <c r="BC7" s="74"/>
      <c r="BD7" s="65"/>
      <c r="BE7" s="94"/>
      <c r="BF7" s="73"/>
      <c r="BG7" s="74"/>
      <c r="BH7" s="65"/>
      <c r="BI7" s="94"/>
      <c r="BJ7" s="73"/>
      <c r="BK7" s="74"/>
      <c r="BL7" s="65"/>
      <c r="BM7" s="94"/>
      <c r="BN7" s="65">
        <f t="shared" si="1"/>
        <v>0</v>
      </c>
      <c r="BO7" s="65" t="b">
        <f t="shared" si="2"/>
        <v>1</v>
      </c>
      <c r="BP7" s="70" t="s">
        <v>708</v>
      </c>
      <c r="BQ7" s="69" t="s">
        <v>1172</v>
      </c>
      <c r="BR7" s="55">
        <v>21</v>
      </c>
      <c r="BS7" s="57">
        <v>9.8000000000000007</v>
      </c>
      <c r="BT7" s="98">
        <v>205.8</v>
      </c>
      <c r="BU7" s="70" t="s">
        <v>3134</v>
      </c>
      <c r="BV7" s="69" t="s">
        <v>3135</v>
      </c>
      <c r="BW7" s="57">
        <v>0.01</v>
      </c>
      <c r="BX7" s="55"/>
      <c r="BY7" s="55">
        <v>1</v>
      </c>
      <c r="BZ7" s="58">
        <v>0.01</v>
      </c>
      <c r="CA7" s="70"/>
      <c r="CB7" s="69"/>
      <c r="CC7" s="55"/>
      <c r="CD7" s="55"/>
      <c r="CE7" s="55"/>
      <c r="CF7" s="56"/>
      <c r="CG7" s="3"/>
      <c r="CH7" s="5">
        <v>41.16</v>
      </c>
      <c r="CI7" s="3"/>
      <c r="CJ7" s="3"/>
      <c r="CK7" s="3"/>
      <c r="CL7" s="3"/>
      <c r="CM7" s="3"/>
      <c r="CN7" s="3"/>
      <c r="CO7" s="3"/>
      <c r="CP7" s="3"/>
    </row>
    <row r="8" spans="1:94">
      <c r="A8" s="3">
        <v>56091</v>
      </c>
      <c r="B8" s="4" t="s">
        <v>302</v>
      </c>
      <c r="C8" s="4" t="s">
        <v>301</v>
      </c>
      <c r="D8" s="4" t="s">
        <v>194</v>
      </c>
      <c r="E8" s="4" t="s">
        <v>195</v>
      </c>
      <c r="F8" s="4" t="s">
        <v>1375</v>
      </c>
      <c r="G8" s="4" t="s">
        <v>1376</v>
      </c>
      <c r="H8" s="4" t="s">
        <v>1377</v>
      </c>
      <c r="I8" s="4" t="s">
        <v>188</v>
      </c>
      <c r="J8" s="4" t="s">
        <v>1362</v>
      </c>
      <c r="K8" s="3">
        <v>57</v>
      </c>
      <c r="L8" s="4" t="s">
        <v>0</v>
      </c>
      <c r="M8" s="4" t="s">
        <v>183</v>
      </c>
      <c r="N8" s="5">
        <v>2361.92</v>
      </c>
      <c r="O8" s="6">
        <v>40852</v>
      </c>
      <c r="P8" s="3"/>
      <c r="Q8" s="4" t="s">
        <v>2072</v>
      </c>
      <c r="R8" s="54"/>
      <c r="S8" s="69"/>
      <c r="T8" s="55"/>
      <c r="U8" s="55"/>
      <c r="V8" s="55"/>
      <c r="W8" s="55"/>
      <c r="X8" s="56"/>
      <c r="Y8" s="54"/>
      <c r="Z8" s="69"/>
      <c r="AA8" s="55"/>
      <c r="AB8" s="55"/>
      <c r="AC8" s="55"/>
      <c r="AD8" s="55"/>
      <c r="AE8" s="56"/>
      <c r="AF8" s="54"/>
      <c r="AG8" s="69"/>
      <c r="AH8" s="55"/>
      <c r="AI8" s="55"/>
      <c r="AJ8" s="55"/>
      <c r="AK8" s="55"/>
      <c r="AL8" s="56"/>
      <c r="AM8" s="54"/>
      <c r="AN8" s="69"/>
      <c r="AO8" s="55"/>
      <c r="AP8" s="55"/>
      <c r="AQ8" s="55"/>
      <c r="AR8" s="55"/>
      <c r="AS8" s="56"/>
      <c r="AT8" s="54"/>
      <c r="AU8" s="69"/>
      <c r="AV8" s="55"/>
      <c r="AW8" s="55"/>
      <c r="AX8" s="55"/>
      <c r="AY8" s="55"/>
      <c r="AZ8" s="56"/>
      <c r="BA8" s="65">
        <f t="shared" si="0"/>
        <v>0</v>
      </c>
      <c r="BB8" s="73"/>
      <c r="BC8" s="74"/>
      <c r="BD8" s="65"/>
      <c r="BE8" s="94"/>
      <c r="BF8" s="73"/>
      <c r="BG8" s="74"/>
      <c r="BH8" s="65"/>
      <c r="BI8" s="94"/>
      <c r="BJ8" s="73"/>
      <c r="BK8" s="74"/>
      <c r="BL8" s="65"/>
      <c r="BM8" s="94"/>
      <c r="BN8" s="65">
        <f t="shared" si="1"/>
        <v>0</v>
      </c>
      <c r="BO8" s="65" t="b">
        <f t="shared" si="2"/>
        <v>1</v>
      </c>
      <c r="BP8" s="70" t="s">
        <v>708</v>
      </c>
      <c r="BQ8" s="69" t="s">
        <v>1172</v>
      </c>
      <c r="BR8" s="55">
        <v>21</v>
      </c>
      <c r="BS8" s="57">
        <v>10.68</v>
      </c>
      <c r="BT8" s="98">
        <v>224.28</v>
      </c>
      <c r="BU8" s="70" t="s">
        <v>3134</v>
      </c>
      <c r="BV8" s="69" t="s">
        <v>3135</v>
      </c>
      <c r="BW8" s="57">
        <v>0.01</v>
      </c>
      <c r="BX8" s="55"/>
      <c r="BY8" s="55">
        <v>1</v>
      </c>
      <c r="BZ8" s="58">
        <v>0.01</v>
      </c>
      <c r="CA8" s="70"/>
      <c r="CB8" s="69"/>
      <c r="CC8" s="55"/>
      <c r="CD8" s="55"/>
      <c r="CE8" s="55"/>
      <c r="CF8" s="56"/>
      <c r="CG8" s="3"/>
      <c r="CH8" s="5">
        <v>44.86</v>
      </c>
      <c r="CI8" s="3"/>
      <c r="CJ8" s="3"/>
      <c r="CK8" s="3"/>
      <c r="CL8" s="3"/>
      <c r="CM8" s="3"/>
      <c r="CN8" s="3"/>
      <c r="CO8" s="3"/>
      <c r="CP8" s="3"/>
    </row>
    <row r="9" spans="1:94">
      <c r="A9" s="3">
        <v>68520</v>
      </c>
      <c r="B9" s="4" t="s">
        <v>2318</v>
      </c>
      <c r="C9" s="4" t="s">
        <v>2319</v>
      </c>
      <c r="D9" s="4" t="s">
        <v>216</v>
      </c>
      <c r="E9" s="4" t="s">
        <v>217</v>
      </c>
      <c r="F9" s="4" t="s">
        <v>1364</v>
      </c>
      <c r="G9" s="4" t="s">
        <v>1365</v>
      </c>
      <c r="H9" s="4" t="s">
        <v>1366</v>
      </c>
      <c r="I9" s="4" t="s">
        <v>188</v>
      </c>
      <c r="J9" s="4" t="s">
        <v>1362</v>
      </c>
      <c r="K9" s="3">
        <v>57</v>
      </c>
      <c r="L9" s="4" t="s">
        <v>0</v>
      </c>
      <c r="M9" s="4" t="s">
        <v>123</v>
      </c>
      <c r="N9" s="5">
        <v>2110.38</v>
      </c>
      <c r="O9" s="6">
        <v>41519</v>
      </c>
      <c r="P9" s="3"/>
      <c r="Q9" s="4" t="s">
        <v>2072</v>
      </c>
      <c r="R9" s="54"/>
      <c r="S9" s="69"/>
      <c r="T9" s="55"/>
      <c r="U9" s="55"/>
      <c r="V9" s="55"/>
      <c r="W9" s="55"/>
      <c r="X9" s="56"/>
      <c r="Y9" s="54"/>
      <c r="Z9" s="69"/>
      <c r="AA9" s="55"/>
      <c r="AB9" s="55"/>
      <c r="AC9" s="55"/>
      <c r="AD9" s="55"/>
      <c r="AE9" s="56"/>
      <c r="AF9" s="54"/>
      <c r="AG9" s="69"/>
      <c r="AH9" s="55"/>
      <c r="AI9" s="55"/>
      <c r="AJ9" s="55"/>
      <c r="AK9" s="55"/>
      <c r="AL9" s="56"/>
      <c r="AM9" s="54"/>
      <c r="AN9" s="69"/>
      <c r="AO9" s="55"/>
      <c r="AP9" s="55"/>
      <c r="AQ9" s="55"/>
      <c r="AR9" s="55"/>
      <c r="AS9" s="56"/>
      <c r="AT9" s="54"/>
      <c r="AU9" s="69"/>
      <c r="AV9" s="55"/>
      <c r="AW9" s="55"/>
      <c r="AX9" s="55"/>
      <c r="AY9" s="55"/>
      <c r="AZ9" s="56"/>
      <c r="BA9" s="65">
        <f t="shared" si="0"/>
        <v>0</v>
      </c>
      <c r="BB9" s="73"/>
      <c r="BC9" s="74"/>
      <c r="BD9" s="65"/>
      <c r="BE9" s="94"/>
      <c r="BF9" s="73"/>
      <c r="BG9" s="74"/>
      <c r="BH9" s="65"/>
      <c r="BI9" s="94"/>
      <c r="BJ9" s="73"/>
      <c r="BK9" s="74"/>
      <c r="BL9" s="65"/>
      <c r="BM9" s="94"/>
      <c r="BN9" s="65">
        <f t="shared" si="1"/>
        <v>0</v>
      </c>
      <c r="BO9" s="65" t="b">
        <f t="shared" si="2"/>
        <v>1</v>
      </c>
      <c r="BP9" s="70" t="s">
        <v>708</v>
      </c>
      <c r="BQ9" s="69" t="s">
        <v>1172</v>
      </c>
      <c r="BR9" s="55">
        <v>20</v>
      </c>
      <c r="BS9" s="57">
        <v>9.8000000000000007</v>
      </c>
      <c r="BT9" s="98">
        <v>196</v>
      </c>
      <c r="BU9" s="70" t="s">
        <v>3134</v>
      </c>
      <c r="BV9" s="69" t="s">
        <v>3135</v>
      </c>
      <c r="BW9" s="57">
        <v>0.01</v>
      </c>
      <c r="BX9" s="55"/>
      <c r="BY9" s="55">
        <v>1</v>
      </c>
      <c r="BZ9" s="58">
        <v>0.01</v>
      </c>
      <c r="CA9" s="70"/>
      <c r="CB9" s="69"/>
      <c r="CC9" s="55"/>
      <c r="CD9" s="55"/>
      <c r="CE9" s="55"/>
      <c r="CF9" s="56"/>
      <c r="CG9" s="3"/>
      <c r="CH9" s="5">
        <v>39.200000000000003</v>
      </c>
      <c r="CI9" s="3"/>
      <c r="CJ9" s="3"/>
      <c r="CK9" s="3"/>
      <c r="CL9" s="3"/>
      <c r="CM9" s="3"/>
      <c r="CN9" s="3"/>
      <c r="CO9" s="3"/>
      <c r="CP9" s="3"/>
    </row>
    <row r="10" spans="1:94">
      <c r="A10" s="3">
        <v>56031</v>
      </c>
      <c r="B10" s="4" t="s">
        <v>1378</v>
      </c>
      <c r="C10" s="4" t="s">
        <v>3</v>
      </c>
      <c r="D10" s="4" t="s">
        <v>306</v>
      </c>
      <c r="E10" s="4" t="s">
        <v>307</v>
      </c>
      <c r="F10" s="4" t="s">
        <v>1379</v>
      </c>
      <c r="G10" s="4" t="s">
        <v>1380</v>
      </c>
      <c r="H10" s="4" t="s">
        <v>1381</v>
      </c>
      <c r="I10" s="4" t="s">
        <v>188</v>
      </c>
      <c r="J10" s="4" t="s">
        <v>1362</v>
      </c>
      <c r="K10" s="3">
        <v>57</v>
      </c>
      <c r="L10" s="4" t="s">
        <v>0</v>
      </c>
      <c r="M10" s="4" t="s">
        <v>118</v>
      </c>
      <c r="N10" s="5">
        <v>2289.7600000000002</v>
      </c>
      <c r="O10" s="6">
        <v>40852</v>
      </c>
      <c r="P10" s="3"/>
      <c r="Q10" s="4" t="s">
        <v>2072</v>
      </c>
      <c r="R10" s="54"/>
      <c r="S10" s="69"/>
      <c r="T10" s="55"/>
      <c r="U10" s="55"/>
      <c r="V10" s="55"/>
      <c r="W10" s="55"/>
      <c r="X10" s="56"/>
      <c r="Y10" s="54"/>
      <c r="Z10" s="69"/>
      <c r="AA10" s="55"/>
      <c r="AB10" s="55"/>
      <c r="AC10" s="55"/>
      <c r="AD10" s="55"/>
      <c r="AE10" s="56"/>
      <c r="AF10" s="54"/>
      <c r="AG10" s="69"/>
      <c r="AH10" s="55"/>
      <c r="AI10" s="55"/>
      <c r="AJ10" s="55"/>
      <c r="AK10" s="55"/>
      <c r="AL10" s="56"/>
      <c r="AM10" s="54"/>
      <c r="AN10" s="69"/>
      <c r="AO10" s="55"/>
      <c r="AP10" s="55"/>
      <c r="AQ10" s="55"/>
      <c r="AR10" s="55"/>
      <c r="AS10" s="56"/>
      <c r="AT10" s="54"/>
      <c r="AU10" s="69"/>
      <c r="AV10" s="55"/>
      <c r="AW10" s="55"/>
      <c r="AX10" s="55"/>
      <c r="AY10" s="55"/>
      <c r="AZ10" s="56"/>
      <c r="BA10" s="65">
        <f t="shared" si="0"/>
        <v>0</v>
      </c>
      <c r="BB10" s="73"/>
      <c r="BC10" s="74"/>
      <c r="BD10" s="65"/>
      <c r="BE10" s="94"/>
      <c r="BF10" s="73"/>
      <c r="BG10" s="74"/>
      <c r="BH10" s="65"/>
      <c r="BI10" s="94"/>
      <c r="BJ10" s="73"/>
      <c r="BK10" s="74"/>
      <c r="BL10" s="65"/>
      <c r="BM10" s="94"/>
      <c r="BN10" s="65">
        <f t="shared" si="1"/>
        <v>0</v>
      </c>
      <c r="BO10" s="65" t="b">
        <f t="shared" si="2"/>
        <v>1</v>
      </c>
      <c r="BP10" s="70" t="s">
        <v>708</v>
      </c>
      <c r="BQ10" s="69" t="s">
        <v>1172</v>
      </c>
      <c r="BR10" s="55">
        <v>20</v>
      </c>
      <c r="BS10" s="57">
        <v>9.8000000000000007</v>
      </c>
      <c r="BT10" s="98">
        <v>196</v>
      </c>
      <c r="BU10" s="70" t="s">
        <v>3134</v>
      </c>
      <c r="BV10" s="69" t="s">
        <v>3135</v>
      </c>
      <c r="BW10" s="57">
        <v>0.01</v>
      </c>
      <c r="BX10" s="55"/>
      <c r="BY10" s="55">
        <v>1</v>
      </c>
      <c r="BZ10" s="58">
        <v>0.01</v>
      </c>
      <c r="CA10" s="70"/>
      <c r="CB10" s="69"/>
      <c r="CC10" s="55"/>
      <c r="CD10" s="55"/>
      <c r="CE10" s="55"/>
      <c r="CF10" s="56"/>
      <c r="CG10" s="3"/>
      <c r="CH10" s="5">
        <v>39.200000000000003</v>
      </c>
      <c r="CI10" s="3"/>
      <c r="CJ10" s="3"/>
      <c r="CK10" s="3"/>
      <c r="CL10" s="3"/>
      <c r="CM10" s="3"/>
      <c r="CN10" s="3"/>
      <c r="CO10" s="3"/>
      <c r="CP10" s="3"/>
    </row>
    <row r="11" spans="1:94">
      <c r="A11" s="3">
        <v>61734</v>
      </c>
      <c r="B11" s="4" t="s">
        <v>1382</v>
      </c>
      <c r="C11" s="4" t="s">
        <v>1192</v>
      </c>
      <c r="D11" s="4" t="s">
        <v>306</v>
      </c>
      <c r="E11" s="4" t="s">
        <v>307</v>
      </c>
      <c r="F11" s="4" t="s">
        <v>1379</v>
      </c>
      <c r="G11" s="4" t="s">
        <v>1380</v>
      </c>
      <c r="H11" s="4" t="s">
        <v>1381</v>
      </c>
      <c r="I11" s="4" t="s">
        <v>188</v>
      </c>
      <c r="J11" s="4" t="s">
        <v>1362</v>
      </c>
      <c r="K11" s="3">
        <v>57</v>
      </c>
      <c r="L11" s="4" t="s">
        <v>0</v>
      </c>
      <c r="M11" s="4" t="s">
        <v>118</v>
      </c>
      <c r="N11" s="5">
        <v>2289.7600000000002</v>
      </c>
      <c r="O11" s="6">
        <v>41199</v>
      </c>
      <c r="P11" s="3"/>
      <c r="Q11" s="4" t="s">
        <v>2072</v>
      </c>
      <c r="R11" s="54"/>
      <c r="S11" s="69"/>
      <c r="T11" s="55"/>
      <c r="U11" s="55"/>
      <c r="V11" s="55"/>
      <c r="W11" s="55"/>
      <c r="X11" s="56"/>
      <c r="Y11" s="54"/>
      <c r="Z11" s="69"/>
      <c r="AA11" s="55"/>
      <c r="AB11" s="55"/>
      <c r="AC11" s="55"/>
      <c r="AD11" s="55"/>
      <c r="AE11" s="56"/>
      <c r="AF11" s="54"/>
      <c r="AG11" s="69"/>
      <c r="AH11" s="55"/>
      <c r="AI11" s="55"/>
      <c r="AJ11" s="55"/>
      <c r="AK11" s="55"/>
      <c r="AL11" s="56"/>
      <c r="AM11" s="54"/>
      <c r="AN11" s="69"/>
      <c r="AO11" s="55"/>
      <c r="AP11" s="55"/>
      <c r="AQ11" s="55"/>
      <c r="AR11" s="55"/>
      <c r="AS11" s="56"/>
      <c r="AT11" s="54"/>
      <c r="AU11" s="69"/>
      <c r="AV11" s="55"/>
      <c r="AW11" s="55"/>
      <c r="AX11" s="55"/>
      <c r="AY11" s="55"/>
      <c r="AZ11" s="56"/>
      <c r="BA11" s="65">
        <f t="shared" si="0"/>
        <v>0</v>
      </c>
      <c r="BB11" s="73"/>
      <c r="BC11" s="74"/>
      <c r="BD11" s="65"/>
      <c r="BE11" s="94"/>
      <c r="BF11" s="73"/>
      <c r="BG11" s="74"/>
      <c r="BH11" s="65"/>
      <c r="BI11" s="94"/>
      <c r="BJ11" s="73"/>
      <c r="BK11" s="74"/>
      <c r="BL11" s="65"/>
      <c r="BM11" s="94"/>
      <c r="BN11" s="65">
        <f t="shared" si="1"/>
        <v>0</v>
      </c>
      <c r="BO11" s="65" t="b">
        <f t="shared" si="2"/>
        <v>1</v>
      </c>
      <c r="BP11" s="70" t="s">
        <v>708</v>
      </c>
      <c r="BQ11" s="69" t="s">
        <v>1172</v>
      </c>
      <c r="BR11" s="55">
        <v>20</v>
      </c>
      <c r="BS11" s="57">
        <v>9.8000000000000007</v>
      </c>
      <c r="BT11" s="98">
        <v>196</v>
      </c>
      <c r="BU11" s="70" t="s">
        <v>3134</v>
      </c>
      <c r="BV11" s="69" t="s">
        <v>3135</v>
      </c>
      <c r="BW11" s="57">
        <v>0.01</v>
      </c>
      <c r="BX11" s="55"/>
      <c r="BY11" s="55">
        <v>1</v>
      </c>
      <c r="BZ11" s="58">
        <v>0.01</v>
      </c>
      <c r="CA11" s="70"/>
      <c r="CB11" s="69"/>
      <c r="CC11" s="55"/>
      <c r="CD11" s="55"/>
      <c r="CE11" s="55"/>
      <c r="CF11" s="56"/>
      <c r="CG11" s="3"/>
      <c r="CH11" s="5">
        <v>39.200000000000003</v>
      </c>
      <c r="CI11" s="3"/>
      <c r="CJ11" s="3"/>
      <c r="CK11" s="3"/>
      <c r="CL11" s="3"/>
      <c r="CM11" s="3"/>
      <c r="CN11" s="3"/>
      <c r="CO11" s="3"/>
      <c r="CP11" s="3"/>
    </row>
    <row r="12" spans="1:94">
      <c r="A12" s="3">
        <v>56129</v>
      </c>
      <c r="B12" s="4" t="s">
        <v>363</v>
      </c>
      <c r="C12" s="4" t="s">
        <v>46</v>
      </c>
      <c r="D12" s="4" t="s">
        <v>2981</v>
      </c>
      <c r="E12" s="4" t="s">
        <v>362</v>
      </c>
      <c r="F12" s="4" t="s">
        <v>2982</v>
      </c>
      <c r="G12" s="4" t="s">
        <v>2983</v>
      </c>
      <c r="H12" s="4" t="s">
        <v>2984</v>
      </c>
      <c r="I12" s="4" t="s">
        <v>188</v>
      </c>
      <c r="J12" s="4" t="s">
        <v>1362</v>
      </c>
      <c r="K12" s="3">
        <v>57</v>
      </c>
      <c r="L12" s="4" t="s">
        <v>0</v>
      </c>
      <c r="M12" s="4" t="s">
        <v>183</v>
      </c>
      <c r="N12" s="5">
        <v>2110.38</v>
      </c>
      <c r="O12" s="6">
        <v>40852</v>
      </c>
      <c r="P12" s="3"/>
      <c r="Q12" s="4" t="s">
        <v>2081</v>
      </c>
      <c r="R12" s="54"/>
      <c r="S12" s="69"/>
      <c r="T12" s="55"/>
      <c r="U12" s="55"/>
      <c r="V12" s="55"/>
      <c r="W12" s="55"/>
      <c r="X12" s="56"/>
      <c r="Y12" s="54"/>
      <c r="Z12" s="69"/>
      <c r="AA12" s="55"/>
      <c r="AB12" s="55"/>
      <c r="AC12" s="55"/>
      <c r="AD12" s="55"/>
      <c r="AE12" s="56"/>
      <c r="AF12" s="54"/>
      <c r="AG12" s="69"/>
      <c r="AH12" s="55"/>
      <c r="AI12" s="55"/>
      <c r="AJ12" s="55"/>
      <c r="AK12" s="55"/>
      <c r="AL12" s="56"/>
      <c r="AM12" s="54"/>
      <c r="AN12" s="69"/>
      <c r="AO12" s="55"/>
      <c r="AP12" s="55"/>
      <c r="AQ12" s="55"/>
      <c r="AR12" s="55"/>
      <c r="AS12" s="56"/>
      <c r="AT12" s="54"/>
      <c r="AU12" s="69"/>
      <c r="AV12" s="55"/>
      <c r="AW12" s="55"/>
      <c r="AX12" s="55"/>
      <c r="AY12" s="55"/>
      <c r="AZ12" s="56"/>
      <c r="BA12" s="65">
        <f t="shared" si="0"/>
        <v>0</v>
      </c>
      <c r="BB12" s="73"/>
      <c r="BC12" s="74"/>
      <c r="BD12" s="65"/>
      <c r="BE12" s="94"/>
      <c r="BF12" s="73"/>
      <c r="BG12" s="74"/>
      <c r="BH12" s="65"/>
      <c r="BI12" s="94"/>
      <c r="BJ12" s="73"/>
      <c r="BK12" s="74"/>
      <c r="BL12" s="65"/>
      <c r="BM12" s="94"/>
      <c r="BN12" s="65">
        <f t="shared" si="1"/>
        <v>0</v>
      </c>
      <c r="BO12" s="65" t="b">
        <f t="shared" si="2"/>
        <v>1</v>
      </c>
      <c r="BP12" s="70" t="s">
        <v>708</v>
      </c>
      <c r="BQ12" s="69" t="s">
        <v>1172</v>
      </c>
      <c r="BR12" s="55">
        <v>20</v>
      </c>
      <c r="BS12" s="57">
        <v>9.8000000000000007</v>
      </c>
      <c r="BT12" s="98">
        <v>196</v>
      </c>
      <c r="BU12" s="70"/>
      <c r="BV12" s="69"/>
      <c r="BW12" s="55"/>
      <c r="BX12" s="55"/>
      <c r="BY12" s="55"/>
      <c r="BZ12" s="56"/>
      <c r="CA12" s="70"/>
      <c r="CB12" s="69"/>
      <c r="CC12" s="55"/>
      <c r="CD12" s="55"/>
      <c r="CE12" s="55"/>
      <c r="CF12" s="56"/>
      <c r="CG12" s="3"/>
      <c r="CH12" s="5">
        <v>39.200000000000003</v>
      </c>
      <c r="CI12" s="3"/>
      <c r="CJ12" s="3"/>
      <c r="CK12" s="3"/>
      <c r="CL12" s="3"/>
      <c r="CM12" s="3"/>
      <c r="CN12" s="3"/>
      <c r="CO12" s="3"/>
      <c r="CP12" s="3"/>
    </row>
    <row r="13" spans="1:94">
      <c r="A13" s="3">
        <v>58058</v>
      </c>
      <c r="B13" s="4" t="s">
        <v>1383</v>
      </c>
      <c r="C13" s="4" t="s">
        <v>5</v>
      </c>
      <c r="D13" s="4" t="s">
        <v>306</v>
      </c>
      <c r="E13" s="4" t="s">
        <v>307</v>
      </c>
      <c r="F13" s="4" t="s">
        <v>1379</v>
      </c>
      <c r="G13" s="4" t="s">
        <v>1380</v>
      </c>
      <c r="H13" s="4" t="s">
        <v>1381</v>
      </c>
      <c r="I13" s="4" t="s">
        <v>188</v>
      </c>
      <c r="J13" s="4" t="s">
        <v>1362</v>
      </c>
      <c r="K13" s="3">
        <v>57</v>
      </c>
      <c r="L13" s="4" t="s">
        <v>0</v>
      </c>
      <c r="M13" s="4" t="s">
        <v>118</v>
      </c>
      <c r="N13" s="5">
        <v>2289.7600000000002</v>
      </c>
      <c r="O13" s="6">
        <v>40975</v>
      </c>
      <c r="P13" s="3"/>
      <c r="Q13" s="4" t="s">
        <v>2072</v>
      </c>
      <c r="R13" s="54"/>
      <c r="S13" s="69"/>
      <c r="T13" s="55"/>
      <c r="U13" s="55"/>
      <c r="V13" s="55"/>
      <c r="W13" s="55"/>
      <c r="X13" s="56"/>
      <c r="Y13" s="54"/>
      <c r="Z13" s="69"/>
      <c r="AA13" s="55"/>
      <c r="AB13" s="55"/>
      <c r="AC13" s="55"/>
      <c r="AD13" s="55"/>
      <c r="AE13" s="56"/>
      <c r="AF13" s="54"/>
      <c r="AG13" s="69"/>
      <c r="AH13" s="55"/>
      <c r="AI13" s="55"/>
      <c r="AJ13" s="55"/>
      <c r="AK13" s="55"/>
      <c r="AL13" s="56"/>
      <c r="AM13" s="54"/>
      <c r="AN13" s="69"/>
      <c r="AO13" s="55"/>
      <c r="AP13" s="55"/>
      <c r="AQ13" s="55"/>
      <c r="AR13" s="55"/>
      <c r="AS13" s="56"/>
      <c r="AT13" s="54"/>
      <c r="AU13" s="69"/>
      <c r="AV13" s="55"/>
      <c r="AW13" s="55"/>
      <c r="AX13" s="55"/>
      <c r="AY13" s="55"/>
      <c r="AZ13" s="56"/>
      <c r="BA13" s="65">
        <f t="shared" si="0"/>
        <v>0</v>
      </c>
      <c r="BB13" s="73"/>
      <c r="BC13" s="74"/>
      <c r="BD13" s="65"/>
      <c r="BE13" s="94"/>
      <c r="BF13" s="73"/>
      <c r="BG13" s="74"/>
      <c r="BH13" s="65"/>
      <c r="BI13" s="94"/>
      <c r="BJ13" s="73"/>
      <c r="BK13" s="74"/>
      <c r="BL13" s="65"/>
      <c r="BM13" s="94"/>
      <c r="BN13" s="65">
        <f t="shared" si="1"/>
        <v>0</v>
      </c>
      <c r="BO13" s="65" t="b">
        <f t="shared" si="2"/>
        <v>1</v>
      </c>
      <c r="BP13" s="70" t="s">
        <v>708</v>
      </c>
      <c r="BQ13" s="69" t="s">
        <v>1172</v>
      </c>
      <c r="BR13" s="55">
        <v>1</v>
      </c>
      <c r="BS13" s="57">
        <v>9.8000000000000007</v>
      </c>
      <c r="BT13" s="98">
        <v>9.8000000000000007</v>
      </c>
      <c r="BU13" s="70" t="s">
        <v>3134</v>
      </c>
      <c r="BV13" s="69" t="s">
        <v>3135</v>
      </c>
      <c r="BW13" s="57">
        <v>0.01</v>
      </c>
      <c r="BX13" s="55"/>
      <c r="BY13" s="55">
        <v>1</v>
      </c>
      <c r="BZ13" s="58">
        <v>0.01</v>
      </c>
      <c r="CA13" s="70"/>
      <c r="CB13" s="69"/>
      <c r="CC13" s="55"/>
      <c r="CD13" s="55"/>
      <c r="CE13" s="55"/>
      <c r="CF13" s="56"/>
      <c r="CG13" s="3"/>
      <c r="CH13" s="5">
        <v>1.96</v>
      </c>
      <c r="CI13" s="6">
        <v>41850</v>
      </c>
      <c r="CJ13" s="6">
        <v>41879</v>
      </c>
      <c r="CK13" s="3"/>
      <c r="CL13" s="3"/>
      <c r="CM13" s="3"/>
      <c r="CN13" s="3"/>
      <c r="CO13" s="3"/>
      <c r="CP13" s="3"/>
    </row>
    <row r="14" spans="1:94">
      <c r="A14" s="3">
        <v>56019</v>
      </c>
      <c r="B14" s="4" t="s">
        <v>1384</v>
      </c>
      <c r="C14" s="4" t="s">
        <v>6</v>
      </c>
      <c r="D14" s="4" t="s">
        <v>306</v>
      </c>
      <c r="E14" s="4" t="s">
        <v>307</v>
      </c>
      <c r="F14" s="4" t="s">
        <v>1379</v>
      </c>
      <c r="G14" s="4" t="s">
        <v>1380</v>
      </c>
      <c r="H14" s="4" t="s">
        <v>1381</v>
      </c>
      <c r="I14" s="4" t="s">
        <v>188</v>
      </c>
      <c r="J14" s="4" t="s">
        <v>1362</v>
      </c>
      <c r="K14" s="3">
        <v>57</v>
      </c>
      <c r="L14" s="4" t="s">
        <v>0</v>
      </c>
      <c r="M14" s="4" t="s">
        <v>118</v>
      </c>
      <c r="N14" s="5">
        <v>2289.7600000000002</v>
      </c>
      <c r="O14" s="6">
        <v>40852</v>
      </c>
      <c r="P14" s="3"/>
      <c r="Q14" s="4" t="s">
        <v>2072</v>
      </c>
      <c r="R14" s="54"/>
      <c r="S14" s="69"/>
      <c r="T14" s="55"/>
      <c r="U14" s="55"/>
      <c r="V14" s="55"/>
      <c r="W14" s="55"/>
      <c r="X14" s="56"/>
      <c r="Y14" s="54"/>
      <c r="Z14" s="69"/>
      <c r="AA14" s="55"/>
      <c r="AB14" s="55"/>
      <c r="AC14" s="55"/>
      <c r="AD14" s="55"/>
      <c r="AE14" s="56"/>
      <c r="AF14" s="54"/>
      <c r="AG14" s="69"/>
      <c r="AH14" s="55"/>
      <c r="AI14" s="55"/>
      <c r="AJ14" s="55"/>
      <c r="AK14" s="55"/>
      <c r="AL14" s="56"/>
      <c r="AM14" s="54"/>
      <c r="AN14" s="69"/>
      <c r="AO14" s="55"/>
      <c r="AP14" s="55"/>
      <c r="AQ14" s="55"/>
      <c r="AR14" s="55"/>
      <c r="AS14" s="56"/>
      <c r="AT14" s="54"/>
      <c r="AU14" s="69"/>
      <c r="AV14" s="55"/>
      <c r="AW14" s="55"/>
      <c r="AX14" s="55"/>
      <c r="AY14" s="55"/>
      <c r="AZ14" s="56"/>
      <c r="BA14" s="65">
        <f t="shared" si="0"/>
        <v>0</v>
      </c>
      <c r="BB14" s="73"/>
      <c r="BC14" s="74"/>
      <c r="BD14" s="65"/>
      <c r="BE14" s="94"/>
      <c r="BF14" s="73"/>
      <c r="BG14" s="74"/>
      <c r="BH14" s="65"/>
      <c r="BI14" s="94"/>
      <c r="BJ14" s="73"/>
      <c r="BK14" s="74"/>
      <c r="BL14" s="65"/>
      <c r="BM14" s="94"/>
      <c r="BN14" s="65">
        <f t="shared" si="1"/>
        <v>0</v>
      </c>
      <c r="BO14" s="65" t="b">
        <f t="shared" si="2"/>
        <v>1</v>
      </c>
      <c r="BP14" s="70" t="s">
        <v>708</v>
      </c>
      <c r="BQ14" s="69" t="s">
        <v>1172</v>
      </c>
      <c r="BR14" s="55">
        <v>20</v>
      </c>
      <c r="BS14" s="57">
        <v>9.8000000000000007</v>
      </c>
      <c r="BT14" s="98">
        <v>196</v>
      </c>
      <c r="BU14" s="70" t="s">
        <v>3134</v>
      </c>
      <c r="BV14" s="69" t="s">
        <v>3135</v>
      </c>
      <c r="BW14" s="57">
        <v>0.01</v>
      </c>
      <c r="BX14" s="55"/>
      <c r="BY14" s="55">
        <v>1</v>
      </c>
      <c r="BZ14" s="58">
        <v>0.01</v>
      </c>
      <c r="CA14" s="70"/>
      <c r="CB14" s="69"/>
      <c r="CC14" s="55"/>
      <c r="CD14" s="55"/>
      <c r="CE14" s="55"/>
      <c r="CF14" s="56"/>
      <c r="CG14" s="3"/>
      <c r="CH14" s="5">
        <v>39.200000000000003</v>
      </c>
      <c r="CI14" s="3"/>
      <c r="CJ14" s="3"/>
      <c r="CK14" s="3"/>
      <c r="CL14" s="3"/>
      <c r="CM14" s="3"/>
      <c r="CN14" s="3"/>
      <c r="CO14" s="3"/>
      <c r="CP14" s="3"/>
    </row>
    <row r="15" spans="1:94">
      <c r="A15" s="3">
        <v>63852</v>
      </c>
      <c r="B15" s="4" t="s">
        <v>1386</v>
      </c>
      <c r="C15" s="4" t="s">
        <v>414</v>
      </c>
      <c r="D15" s="4" t="s">
        <v>277</v>
      </c>
      <c r="E15" s="4" t="s">
        <v>53</v>
      </c>
      <c r="F15" s="4" t="s">
        <v>2259</v>
      </c>
      <c r="G15" s="4" t="s">
        <v>3047</v>
      </c>
      <c r="H15" s="4" t="s">
        <v>3048</v>
      </c>
      <c r="I15" s="4" t="s">
        <v>114</v>
      </c>
      <c r="J15" s="4" t="s">
        <v>1453</v>
      </c>
      <c r="K15" s="3">
        <v>57</v>
      </c>
      <c r="L15" s="4" t="s">
        <v>0</v>
      </c>
      <c r="M15" s="4" t="s">
        <v>278</v>
      </c>
      <c r="N15" s="5">
        <v>2110.38</v>
      </c>
      <c r="O15" s="6">
        <v>41281</v>
      </c>
      <c r="P15" s="3"/>
      <c r="Q15" s="4" t="s">
        <v>2072</v>
      </c>
      <c r="R15" s="54"/>
      <c r="S15" s="69"/>
      <c r="T15" s="55"/>
      <c r="U15" s="55"/>
      <c r="V15" s="55"/>
      <c r="W15" s="55"/>
      <c r="X15" s="56"/>
      <c r="Y15" s="54"/>
      <c r="Z15" s="69"/>
      <c r="AA15" s="55"/>
      <c r="AB15" s="55"/>
      <c r="AC15" s="55"/>
      <c r="AD15" s="55"/>
      <c r="AE15" s="56"/>
      <c r="AF15" s="54"/>
      <c r="AG15" s="69"/>
      <c r="AH15" s="55"/>
      <c r="AI15" s="55"/>
      <c r="AJ15" s="55"/>
      <c r="AK15" s="55"/>
      <c r="AL15" s="56"/>
      <c r="AM15" s="54"/>
      <c r="AN15" s="69"/>
      <c r="AO15" s="55"/>
      <c r="AP15" s="55"/>
      <c r="AQ15" s="55"/>
      <c r="AR15" s="55"/>
      <c r="AS15" s="56"/>
      <c r="AT15" s="54"/>
      <c r="AU15" s="69"/>
      <c r="AV15" s="55"/>
      <c r="AW15" s="55"/>
      <c r="AX15" s="55"/>
      <c r="AY15" s="55"/>
      <c r="AZ15" s="56"/>
      <c r="BA15" s="65">
        <f t="shared" si="0"/>
        <v>0</v>
      </c>
      <c r="BB15" s="73"/>
      <c r="BC15" s="74"/>
      <c r="BD15" s="65"/>
      <c r="BE15" s="94"/>
      <c r="BF15" s="73"/>
      <c r="BG15" s="74"/>
      <c r="BH15" s="65"/>
      <c r="BI15" s="94"/>
      <c r="BJ15" s="73"/>
      <c r="BK15" s="74"/>
      <c r="BL15" s="65"/>
      <c r="BM15" s="94"/>
      <c r="BN15" s="65">
        <f t="shared" si="1"/>
        <v>0</v>
      </c>
      <c r="BO15" s="65" t="b">
        <f t="shared" si="2"/>
        <v>1</v>
      </c>
      <c r="BP15" s="70" t="s">
        <v>708</v>
      </c>
      <c r="BQ15" s="69" t="s">
        <v>1172</v>
      </c>
      <c r="BR15" s="55">
        <v>21</v>
      </c>
      <c r="BS15" s="57">
        <v>9.8000000000000007</v>
      </c>
      <c r="BT15" s="98">
        <v>205.8</v>
      </c>
      <c r="BU15" s="70" t="s">
        <v>3134</v>
      </c>
      <c r="BV15" s="69" t="s">
        <v>3135</v>
      </c>
      <c r="BW15" s="57">
        <v>0.01</v>
      </c>
      <c r="BX15" s="55"/>
      <c r="BY15" s="55">
        <v>1</v>
      </c>
      <c r="BZ15" s="58">
        <v>0.01</v>
      </c>
      <c r="CA15" s="70"/>
      <c r="CB15" s="69"/>
      <c r="CC15" s="55"/>
      <c r="CD15" s="55"/>
      <c r="CE15" s="55"/>
      <c r="CF15" s="56"/>
      <c r="CG15" s="3"/>
      <c r="CH15" s="5">
        <v>1</v>
      </c>
      <c r="CI15" s="3"/>
      <c r="CJ15" s="3"/>
      <c r="CK15" s="3"/>
      <c r="CL15" s="3"/>
      <c r="CM15" s="3"/>
      <c r="CN15" s="3"/>
      <c r="CO15" s="3"/>
      <c r="CP15" s="3"/>
    </row>
    <row r="16" spans="1:94">
      <c r="A16" s="3">
        <v>56100</v>
      </c>
      <c r="B16" s="4" t="s">
        <v>1387</v>
      </c>
      <c r="C16" s="4" t="s">
        <v>92</v>
      </c>
      <c r="D16" s="4" t="s">
        <v>416</v>
      </c>
      <c r="E16" s="4" t="s">
        <v>417</v>
      </c>
      <c r="F16" s="4" t="s">
        <v>1388</v>
      </c>
      <c r="G16" s="4" t="s">
        <v>1389</v>
      </c>
      <c r="H16" s="4" t="s">
        <v>1390</v>
      </c>
      <c r="I16" s="4" t="s">
        <v>188</v>
      </c>
      <c r="J16" s="4" t="s">
        <v>1362</v>
      </c>
      <c r="K16" s="3">
        <v>57</v>
      </c>
      <c r="L16" s="4" t="s">
        <v>0</v>
      </c>
      <c r="M16" s="4" t="s">
        <v>123</v>
      </c>
      <c r="N16" s="5">
        <v>2110.38</v>
      </c>
      <c r="O16" s="6">
        <v>40852</v>
      </c>
      <c r="P16" s="3"/>
      <c r="Q16" s="4" t="s">
        <v>2072</v>
      </c>
      <c r="R16" s="54"/>
      <c r="S16" s="69"/>
      <c r="T16" s="55"/>
      <c r="U16" s="55"/>
      <c r="V16" s="55"/>
      <c r="W16" s="55"/>
      <c r="X16" s="56"/>
      <c r="Y16" s="54"/>
      <c r="Z16" s="69"/>
      <c r="AA16" s="55"/>
      <c r="AB16" s="55"/>
      <c r="AC16" s="55"/>
      <c r="AD16" s="55"/>
      <c r="AE16" s="56"/>
      <c r="AF16" s="54"/>
      <c r="AG16" s="69"/>
      <c r="AH16" s="55"/>
      <c r="AI16" s="55"/>
      <c r="AJ16" s="55"/>
      <c r="AK16" s="55"/>
      <c r="AL16" s="56"/>
      <c r="AM16" s="54"/>
      <c r="AN16" s="69"/>
      <c r="AO16" s="55"/>
      <c r="AP16" s="55"/>
      <c r="AQ16" s="55"/>
      <c r="AR16" s="55"/>
      <c r="AS16" s="56"/>
      <c r="AT16" s="54"/>
      <c r="AU16" s="69"/>
      <c r="AV16" s="55"/>
      <c r="AW16" s="55"/>
      <c r="AX16" s="55"/>
      <c r="AY16" s="55"/>
      <c r="AZ16" s="56"/>
      <c r="BA16" s="65">
        <f t="shared" si="0"/>
        <v>0</v>
      </c>
      <c r="BB16" s="73"/>
      <c r="BC16" s="74"/>
      <c r="BD16" s="65"/>
      <c r="BE16" s="94"/>
      <c r="BF16" s="73"/>
      <c r="BG16" s="74"/>
      <c r="BH16" s="65"/>
      <c r="BI16" s="94"/>
      <c r="BJ16" s="73"/>
      <c r="BK16" s="74"/>
      <c r="BL16" s="65"/>
      <c r="BM16" s="94"/>
      <c r="BN16" s="65">
        <f t="shared" si="1"/>
        <v>0</v>
      </c>
      <c r="BO16" s="65" t="b">
        <f t="shared" si="2"/>
        <v>1</v>
      </c>
      <c r="BP16" s="70" t="s">
        <v>708</v>
      </c>
      <c r="BQ16" s="69" t="s">
        <v>1172</v>
      </c>
      <c r="BR16" s="55">
        <v>20</v>
      </c>
      <c r="BS16" s="57">
        <v>9.8000000000000007</v>
      </c>
      <c r="BT16" s="98">
        <v>196</v>
      </c>
      <c r="BU16" s="70" t="s">
        <v>3134</v>
      </c>
      <c r="BV16" s="69" t="s">
        <v>3135</v>
      </c>
      <c r="BW16" s="57">
        <v>0.01</v>
      </c>
      <c r="BX16" s="55"/>
      <c r="BY16" s="55">
        <v>1</v>
      </c>
      <c r="BZ16" s="58">
        <v>0.01</v>
      </c>
      <c r="CA16" s="70"/>
      <c r="CB16" s="69"/>
      <c r="CC16" s="55"/>
      <c r="CD16" s="55"/>
      <c r="CE16" s="55"/>
      <c r="CF16" s="56"/>
      <c r="CG16" s="3"/>
      <c r="CH16" s="5">
        <v>39.200000000000003</v>
      </c>
      <c r="CI16" s="3"/>
      <c r="CJ16" s="3"/>
      <c r="CK16" s="3"/>
      <c r="CL16" s="3"/>
      <c r="CM16" s="3"/>
      <c r="CN16" s="3"/>
      <c r="CO16" s="3"/>
      <c r="CP16" s="3"/>
    </row>
    <row r="17" spans="1:94">
      <c r="A17" s="3">
        <v>59103</v>
      </c>
      <c r="B17" s="4" t="s">
        <v>1394</v>
      </c>
      <c r="C17" s="4" t="s">
        <v>73</v>
      </c>
      <c r="D17" s="4" t="s">
        <v>421</v>
      </c>
      <c r="E17" s="4" t="s">
        <v>422</v>
      </c>
      <c r="F17" s="4" t="s">
        <v>1395</v>
      </c>
      <c r="G17" s="4" t="s">
        <v>1396</v>
      </c>
      <c r="H17" s="4" t="s">
        <v>1397</v>
      </c>
      <c r="I17" s="4" t="s">
        <v>188</v>
      </c>
      <c r="J17" s="4" t="s">
        <v>1362</v>
      </c>
      <c r="K17" s="3">
        <v>57</v>
      </c>
      <c r="L17" s="4" t="s">
        <v>0</v>
      </c>
      <c r="M17" s="4" t="s">
        <v>324</v>
      </c>
      <c r="N17" s="5">
        <v>2110.38</v>
      </c>
      <c r="O17" s="6">
        <v>41033</v>
      </c>
      <c r="P17" s="3"/>
      <c r="Q17" s="4" t="s">
        <v>2072</v>
      </c>
      <c r="R17" s="54"/>
      <c r="S17" s="69"/>
      <c r="T17" s="55"/>
      <c r="U17" s="55"/>
      <c r="V17" s="55"/>
      <c r="W17" s="55"/>
      <c r="X17" s="56"/>
      <c r="Y17" s="54"/>
      <c r="Z17" s="69"/>
      <c r="AA17" s="55"/>
      <c r="AB17" s="55"/>
      <c r="AC17" s="55"/>
      <c r="AD17" s="55"/>
      <c r="AE17" s="56"/>
      <c r="AF17" s="54"/>
      <c r="AG17" s="69"/>
      <c r="AH17" s="55"/>
      <c r="AI17" s="55"/>
      <c r="AJ17" s="55"/>
      <c r="AK17" s="55"/>
      <c r="AL17" s="56"/>
      <c r="AM17" s="54"/>
      <c r="AN17" s="69"/>
      <c r="AO17" s="55"/>
      <c r="AP17" s="55"/>
      <c r="AQ17" s="55"/>
      <c r="AR17" s="55"/>
      <c r="AS17" s="56"/>
      <c r="AT17" s="54"/>
      <c r="AU17" s="69"/>
      <c r="AV17" s="55"/>
      <c r="AW17" s="55"/>
      <c r="AX17" s="55"/>
      <c r="AY17" s="55"/>
      <c r="AZ17" s="56"/>
      <c r="BA17" s="65">
        <f t="shared" si="0"/>
        <v>0</v>
      </c>
      <c r="BB17" s="73"/>
      <c r="BC17" s="74"/>
      <c r="BD17" s="65"/>
      <c r="BE17" s="94"/>
      <c r="BF17" s="73"/>
      <c r="BG17" s="74"/>
      <c r="BH17" s="65"/>
      <c r="BI17" s="94"/>
      <c r="BJ17" s="73"/>
      <c r="BK17" s="74"/>
      <c r="BL17" s="65"/>
      <c r="BM17" s="94"/>
      <c r="BN17" s="65">
        <f t="shared" si="1"/>
        <v>0</v>
      </c>
      <c r="BO17" s="65" t="b">
        <f t="shared" si="2"/>
        <v>1</v>
      </c>
      <c r="BP17" s="70" t="s">
        <v>708</v>
      </c>
      <c r="BQ17" s="69" t="s">
        <v>1172</v>
      </c>
      <c r="BR17" s="55">
        <v>20</v>
      </c>
      <c r="BS17" s="57">
        <v>9.8000000000000007</v>
      </c>
      <c r="BT17" s="98">
        <v>196</v>
      </c>
      <c r="BU17" s="70" t="s">
        <v>3134</v>
      </c>
      <c r="BV17" s="69" t="s">
        <v>3135</v>
      </c>
      <c r="BW17" s="57">
        <v>0.01</v>
      </c>
      <c r="BX17" s="55"/>
      <c r="BY17" s="55">
        <v>1</v>
      </c>
      <c r="BZ17" s="58">
        <v>0.01</v>
      </c>
      <c r="CA17" s="70"/>
      <c r="CB17" s="69"/>
      <c r="CC17" s="55"/>
      <c r="CD17" s="55"/>
      <c r="CE17" s="55"/>
      <c r="CF17" s="56"/>
      <c r="CG17" s="3"/>
      <c r="CH17" s="5">
        <v>39.200000000000003</v>
      </c>
      <c r="CI17" s="3"/>
      <c r="CJ17" s="3"/>
      <c r="CK17" s="3"/>
      <c r="CL17" s="3"/>
      <c r="CM17" s="3"/>
      <c r="CN17" s="3"/>
      <c r="CO17" s="3"/>
      <c r="CP17" s="3"/>
    </row>
    <row r="18" spans="1:94">
      <c r="A18" s="3">
        <v>56043</v>
      </c>
      <c r="B18" s="4" t="s">
        <v>1398</v>
      </c>
      <c r="C18" s="4" t="s">
        <v>8</v>
      </c>
      <c r="D18" s="4" t="s">
        <v>306</v>
      </c>
      <c r="E18" s="4" t="s">
        <v>307</v>
      </c>
      <c r="F18" s="4" t="s">
        <v>1379</v>
      </c>
      <c r="G18" s="4" t="s">
        <v>1380</v>
      </c>
      <c r="H18" s="4" t="s">
        <v>1381</v>
      </c>
      <c r="I18" s="4" t="s">
        <v>188</v>
      </c>
      <c r="J18" s="4" t="s">
        <v>1362</v>
      </c>
      <c r="K18" s="3">
        <v>57</v>
      </c>
      <c r="L18" s="4" t="s">
        <v>0</v>
      </c>
      <c r="M18" s="4" t="s">
        <v>118</v>
      </c>
      <c r="N18" s="5">
        <v>2289.7600000000002</v>
      </c>
      <c r="O18" s="6">
        <v>40852</v>
      </c>
      <c r="P18" s="3"/>
      <c r="Q18" s="4" t="s">
        <v>2072</v>
      </c>
      <c r="R18" s="54"/>
      <c r="S18" s="69"/>
      <c r="T18" s="55"/>
      <c r="U18" s="55"/>
      <c r="V18" s="55"/>
      <c r="W18" s="55"/>
      <c r="X18" s="56"/>
      <c r="Y18" s="54"/>
      <c r="Z18" s="69"/>
      <c r="AA18" s="55"/>
      <c r="AB18" s="55"/>
      <c r="AC18" s="55"/>
      <c r="AD18" s="55"/>
      <c r="AE18" s="56"/>
      <c r="AF18" s="54"/>
      <c r="AG18" s="69"/>
      <c r="AH18" s="55"/>
      <c r="AI18" s="55"/>
      <c r="AJ18" s="55"/>
      <c r="AK18" s="55"/>
      <c r="AL18" s="56"/>
      <c r="AM18" s="54"/>
      <c r="AN18" s="69"/>
      <c r="AO18" s="55"/>
      <c r="AP18" s="55"/>
      <c r="AQ18" s="55"/>
      <c r="AR18" s="55"/>
      <c r="AS18" s="56"/>
      <c r="AT18" s="54"/>
      <c r="AU18" s="69"/>
      <c r="AV18" s="55"/>
      <c r="AW18" s="55"/>
      <c r="AX18" s="55"/>
      <c r="AY18" s="55"/>
      <c r="AZ18" s="56"/>
      <c r="BA18" s="65">
        <f t="shared" si="0"/>
        <v>0</v>
      </c>
      <c r="BB18" s="73"/>
      <c r="BC18" s="74"/>
      <c r="BD18" s="65"/>
      <c r="BE18" s="94"/>
      <c r="BF18" s="73"/>
      <c r="BG18" s="74"/>
      <c r="BH18" s="65"/>
      <c r="BI18" s="94"/>
      <c r="BJ18" s="73"/>
      <c r="BK18" s="74"/>
      <c r="BL18" s="65"/>
      <c r="BM18" s="94"/>
      <c r="BN18" s="65">
        <f t="shared" si="1"/>
        <v>0</v>
      </c>
      <c r="BO18" s="65" t="b">
        <f t="shared" si="2"/>
        <v>1</v>
      </c>
      <c r="BP18" s="70" t="s">
        <v>708</v>
      </c>
      <c r="BQ18" s="69" t="s">
        <v>1172</v>
      </c>
      <c r="BR18" s="55">
        <v>20</v>
      </c>
      <c r="BS18" s="57">
        <v>9.8000000000000007</v>
      </c>
      <c r="BT18" s="98">
        <v>196</v>
      </c>
      <c r="BU18" s="70" t="s">
        <v>3134</v>
      </c>
      <c r="BV18" s="69" t="s">
        <v>3135</v>
      </c>
      <c r="BW18" s="57">
        <v>0.01</v>
      </c>
      <c r="BX18" s="55"/>
      <c r="BY18" s="55">
        <v>1</v>
      </c>
      <c r="BZ18" s="58">
        <v>0.01</v>
      </c>
      <c r="CA18" s="70"/>
      <c r="CB18" s="69"/>
      <c r="CC18" s="55"/>
      <c r="CD18" s="55"/>
      <c r="CE18" s="55"/>
      <c r="CF18" s="56"/>
      <c r="CG18" s="3"/>
      <c r="CH18" s="5">
        <v>39.200000000000003</v>
      </c>
      <c r="CI18" s="3"/>
      <c r="CJ18" s="3"/>
      <c r="CK18" s="3"/>
      <c r="CL18" s="3"/>
      <c r="CM18" s="3"/>
      <c r="CN18" s="3"/>
      <c r="CO18" s="3"/>
      <c r="CP18" s="3"/>
    </row>
    <row r="19" spans="1:94">
      <c r="A19" s="3">
        <v>56094</v>
      </c>
      <c r="B19" s="4" t="s">
        <v>1399</v>
      </c>
      <c r="C19" s="4" t="s">
        <v>65</v>
      </c>
      <c r="D19" s="4" t="s">
        <v>441</v>
      </c>
      <c r="E19" s="4" t="s">
        <v>442</v>
      </c>
      <c r="F19" s="4" t="s">
        <v>1400</v>
      </c>
      <c r="G19" s="4" t="s">
        <v>1401</v>
      </c>
      <c r="H19" s="4" t="s">
        <v>1402</v>
      </c>
      <c r="I19" s="4" t="s">
        <v>188</v>
      </c>
      <c r="J19" s="4" t="s">
        <v>1362</v>
      </c>
      <c r="K19" s="3">
        <v>57</v>
      </c>
      <c r="L19" s="4" t="s">
        <v>0</v>
      </c>
      <c r="M19" s="4" t="s">
        <v>193</v>
      </c>
      <c r="N19" s="5">
        <v>2110.38</v>
      </c>
      <c r="O19" s="6">
        <v>40852</v>
      </c>
      <c r="P19" s="3"/>
      <c r="Q19" s="4" t="s">
        <v>2072</v>
      </c>
      <c r="R19" s="54"/>
      <c r="S19" s="69"/>
      <c r="T19" s="55"/>
      <c r="U19" s="55"/>
      <c r="V19" s="55"/>
      <c r="W19" s="55"/>
      <c r="X19" s="56"/>
      <c r="Y19" s="54"/>
      <c r="Z19" s="69"/>
      <c r="AA19" s="55"/>
      <c r="AB19" s="55"/>
      <c r="AC19" s="55"/>
      <c r="AD19" s="55"/>
      <c r="AE19" s="56"/>
      <c r="AF19" s="54"/>
      <c r="AG19" s="69"/>
      <c r="AH19" s="55"/>
      <c r="AI19" s="55"/>
      <c r="AJ19" s="55"/>
      <c r="AK19" s="55"/>
      <c r="AL19" s="56"/>
      <c r="AM19" s="54"/>
      <c r="AN19" s="69"/>
      <c r="AO19" s="55"/>
      <c r="AP19" s="55"/>
      <c r="AQ19" s="55"/>
      <c r="AR19" s="55"/>
      <c r="AS19" s="56"/>
      <c r="AT19" s="54"/>
      <c r="AU19" s="69"/>
      <c r="AV19" s="55"/>
      <c r="AW19" s="55"/>
      <c r="AX19" s="55"/>
      <c r="AY19" s="55"/>
      <c r="AZ19" s="56"/>
      <c r="BA19" s="65">
        <f t="shared" si="0"/>
        <v>0</v>
      </c>
      <c r="BB19" s="73"/>
      <c r="BC19" s="74"/>
      <c r="BD19" s="65"/>
      <c r="BE19" s="94"/>
      <c r="BF19" s="73"/>
      <c r="BG19" s="74"/>
      <c r="BH19" s="65"/>
      <c r="BI19" s="94"/>
      <c r="BJ19" s="73"/>
      <c r="BK19" s="74"/>
      <c r="BL19" s="65"/>
      <c r="BM19" s="94"/>
      <c r="BN19" s="65">
        <f t="shared" si="1"/>
        <v>0</v>
      </c>
      <c r="BO19" s="65" t="b">
        <f t="shared" si="2"/>
        <v>1</v>
      </c>
      <c r="BP19" s="70" t="s">
        <v>708</v>
      </c>
      <c r="BQ19" s="69" t="s">
        <v>1172</v>
      </c>
      <c r="BR19" s="55">
        <v>21</v>
      </c>
      <c r="BS19" s="57">
        <v>9.8000000000000007</v>
      </c>
      <c r="BT19" s="98">
        <v>205.8</v>
      </c>
      <c r="BU19" s="70" t="s">
        <v>3134</v>
      </c>
      <c r="BV19" s="69" t="s">
        <v>3135</v>
      </c>
      <c r="BW19" s="57">
        <v>0.01</v>
      </c>
      <c r="BX19" s="55"/>
      <c r="BY19" s="55">
        <v>1</v>
      </c>
      <c r="BZ19" s="58">
        <v>0.01</v>
      </c>
      <c r="CA19" s="70"/>
      <c r="CB19" s="69"/>
      <c r="CC19" s="55"/>
      <c r="CD19" s="55"/>
      <c r="CE19" s="55"/>
      <c r="CF19" s="56"/>
      <c r="CG19" s="3"/>
      <c r="CH19" s="5">
        <v>41.16</v>
      </c>
      <c r="CI19" s="3"/>
      <c r="CJ19" s="3"/>
      <c r="CK19" s="3"/>
      <c r="CL19" s="3"/>
      <c r="CM19" s="3"/>
      <c r="CN19" s="3"/>
      <c r="CO19" s="3"/>
      <c r="CP19" s="3"/>
    </row>
    <row r="20" spans="1:94">
      <c r="A20" s="3">
        <v>56131</v>
      </c>
      <c r="B20" s="4" t="s">
        <v>455</v>
      </c>
      <c r="C20" s="4" t="s">
        <v>58</v>
      </c>
      <c r="D20" s="4" t="s">
        <v>456</v>
      </c>
      <c r="E20" s="4" t="s">
        <v>457</v>
      </c>
      <c r="F20" s="4" t="s">
        <v>1403</v>
      </c>
      <c r="G20" s="4" t="s">
        <v>1404</v>
      </c>
      <c r="H20" s="4" t="s">
        <v>1405</v>
      </c>
      <c r="I20" s="4" t="s">
        <v>188</v>
      </c>
      <c r="J20" s="4" t="s">
        <v>1362</v>
      </c>
      <c r="K20" s="3">
        <v>57</v>
      </c>
      <c r="L20" s="4" t="s">
        <v>0</v>
      </c>
      <c r="M20" s="4" t="s">
        <v>329</v>
      </c>
      <c r="N20" s="5">
        <v>2110.38</v>
      </c>
      <c r="O20" s="6">
        <v>40852</v>
      </c>
      <c r="P20" s="3"/>
      <c r="Q20" s="4" t="s">
        <v>2072</v>
      </c>
      <c r="R20" s="54"/>
      <c r="S20" s="69"/>
      <c r="T20" s="55"/>
      <c r="U20" s="55"/>
      <c r="V20" s="55"/>
      <c r="W20" s="55"/>
      <c r="X20" s="56"/>
      <c r="Y20" s="54"/>
      <c r="Z20" s="69"/>
      <c r="AA20" s="55"/>
      <c r="AB20" s="55"/>
      <c r="AC20" s="55"/>
      <c r="AD20" s="55"/>
      <c r="AE20" s="56"/>
      <c r="AF20" s="54"/>
      <c r="AG20" s="69"/>
      <c r="AH20" s="55"/>
      <c r="AI20" s="55"/>
      <c r="AJ20" s="55"/>
      <c r="AK20" s="55"/>
      <c r="AL20" s="56"/>
      <c r="AM20" s="54"/>
      <c r="AN20" s="69"/>
      <c r="AO20" s="55"/>
      <c r="AP20" s="55"/>
      <c r="AQ20" s="55"/>
      <c r="AR20" s="55"/>
      <c r="AS20" s="56"/>
      <c r="AT20" s="54"/>
      <c r="AU20" s="69"/>
      <c r="AV20" s="55"/>
      <c r="AW20" s="55"/>
      <c r="AX20" s="55"/>
      <c r="AY20" s="55"/>
      <c r="AZ20" s="56"/>
      <c r="BA20" s="65">
        <f t="shared" si="0"/>
        <v>0</v>
      </c>
      <c r="BB20" s="73"/>
      <c r="BC20" s="74"/>
      <c r="BD20" s="65"/>
      <c r="BE20" s="94"/>
      <c r="BF20" s="73"/>
      <c r="BG20" s="74"/>
      <c r="BH20" s="65"/>
      <c r="BI20" s="94"/>
      <c r="BJ20" s="73"/>
      <c r="BK20" s="74"/>
      <c r="BL20" s="65"/>
      <c r="BM20" s="94"/>
      <c r="BN20" s="65">
        <f t="shared" si="1"/>
        <v>0</v>
      </c>
      <c r="BO20" s="65" t="b">
        <f t="shared" si="2"/>
        <v>1</v>
      </c>
      <c r="BP20" s="70" t="s">
        <v>708</v>
      </c>
      <c r="BQ20" s="69" t="s">
        <v>1172</v>
      </c>
      <c r="BR20" s="55">
        <v>21</v>
      </c>
      <c r="BS20" s="57">
        <v>9.8000000000000007</v>
      </c>
      <c r="BT20" s="98">
        <v>205.8</v>
      </c>
      <c r="BU20" s="70" t="s">
        <v>3134</v>
      </c>
      <c r="BV20" s="69" t="s">
        <v>3135</v>
      </c>
      <c r="BW20" s="57">
        <v>0.01</v>
      </c>
      <c r="BX20" s="55"/>
      <c r="BY20" s="55">
        <v>1</v>
      </c>
      <c r="BZ20" s="58">
        <v>0.01</v>
      </c>
      <c r="CA20" s="70"/>
      <c r="CB20" s="69"/>
      <c r="CC20" s="55"/>
      <c r="CD20" s="55"/>
      <c r="CE20" s="55"/>
      <c r="CF20" s="56"/>
      <c r="CG20" s="3"/>
      <c r="CH20" s="5">
        <v>41.16</v>
      </c>
      <c r="CI20" s="3"/>
      <c r="CJ20" s="3"/>
      <c r="CK20" s="3"/>
      <c r="CL20" s="3"/>
      <c r="CM20" s="3"/>
      <c r="CN20" s="3"/>
      <c r="CO20" s="3"/>
      <c r="CP20" s="3"/>
    </row>
    <row r="21" spans="1:94">
      <c r="A21" s="3">
        <v>56045</v>
      </c>
      <c r="B21" s="4" t="s">
        <v>1406</v>
      </c>
      <c r="C21" s="4" t="s">
        <v>48</v>
      </c>
      <c r="D21" s="4" t="s">
        <v>459</v>
      </c>
      <c r="E21" s="4" t="s">
        <v>460</v>
      </c>
      <c r="F21" s="4" t="s">
        <v>1407</v>
      </c>
      <c r="G21" s="4" t="s">
        <v>1408</v>
      </c>
      <c r="H21" s="4" t="s">
        <v>1409</v>
      </c>
      <c r="I21" s="4" t="s">
        <v>188</v>
      </c>
      <c r="J21" s="4" t="s">
        <v>1362</v>
      </c>
      <c r="K21" s="3">
        <v>57</v>
      </c>
      <c r="L21" s="4" t="s">
        <v>0</v>
      </c>
      <c r="M21" s="4" t="s">
        <v>278</v>
      </c>
      <c r="N21" s="5">
        <v>2110.38</v>
      </c>
      <c r="O21" s="6">
        <v>40852</v>
      </c>
      <c r="P21" s="3"/>
      <c r="Q21" s="4" t="s">
        <v>2072</v>
      </c>
      <c r="R21" s="54"/>
      <c r="S21" s="69"/>
      <c r="T21" s="55"/>
      <c r="U21" s="55"/>
      <c r="V21" s="55"/>
      <c r="W21" s="55"/>
      <c r="X21" s="56"/>
      <c r="Y21" s="54"/>
      <c r="Z21" s="69"/>
      <c r="AA21" s="55"/>
      <c r="AB21" s="55"/>
      <c r="AC21" s="55"/>
      <c r="AD21" s="55"/>
      <c r="AE21" s="56"/>
      <c r="AF21" s="54"/>
      <c r="AG21" s="69"/>
      <c r="AH21" s="55"/>
      <c r="AI21" s="55"/>
      <c r="AJ21" s="55"/>
      <c r="AK21" s="55"/>
      <c r="AL21" s="56"/>
      <c r="AM21" s="54"/>
      <c r="AN21" s="69"/>
      <c r="AO21" s="55"/>
      <c r="AP21" s="55"/>
      <c r="AQ21" s="55"/>
      <c r="AR21" s="55"/>
      <c r="AS21" s="56"/>
      <c r="AT21" s="54"/>
      <c r="AU21" s="69"/>
      <c r="AV21" s="55"/>
      <c r="AW21" s="55"/>
      <c r="AX21" s="55"/>
      <c r="AY21" s="55"/>
      <c r="AZ21" s="56"/>
      <c r="BA21" s="65">
        <f t="shared" si="0"/>
        <v>0</v>
      </c>
      <c r="BB21" s="73"/>
      <c r="BC21" s="74"/>
      <c r="BD21" s="65"/>
      <c r="BE21" s="94"/>
      <c r="BF21" s="73"/>
      <c r="BG21" s="74"/>
      <c r="BH21" s="65"/>
      <c r="BI21" s="94"/>
      <c r="BJ21" s="73"/>
      <c r="BK21" s="74"/>
      <c r="BL21" s="65"/>
      <c r="BM21" s="94"/>
      <c r="BN21" s="65">
        <f t="shared" si="1"/>
        <v>0</v>
      </c>
      <c r="BO21" s="65" t="b">
        <f t="shared" si="2"/>
        <v>1</v>
      </c>
      <c r="BP21" s="70" t="s">
        <v>708</v>
      </c>
      <c r="BQ21" s="69" t="s">
        <v>1172</v>
      </c>
      <c r="BR21" s="55">
        <v>21</v>
      </c>
      <c r="BS21" s="57">
        <v>9.8000000000000007</v>
      </c>
      <c r="BT21" s="98">
        <v>205.8</v>
      </c>
      <c r="BU21" s="70" t="s">
        <v>3134</v>
      </c>
      <c r="BV21" s="69" t="s">
        <v>3135</v>
      </c>
      <c r="BW21" s="57">
        <v>0.01</v>
      </c>
      <c r="BX21" s="55"/>
      <c r="BY21" s="55">
        <v>1</v>
      </c>
      <c r="BZ21" s="58">
        <v>0.01</v>
      </c>
      <c r="CA21" s="70"/>
      <c r="CB21" s="69"/>
      <c r="CC21" s="55"/>
      <c r="CD21" s="55"/>
      <c r="CE21" s="55"/>
      <c r="CF21" s="56"/>
      <c r="CG21" s="3"/>
      <c r="CH21" s="5">
        <v>41.16</v>
      </c>
      <c r="CI21" s="3"/>
      <c r="CJ21" s="3"/>
      <c r="CK21" s="3"/>
      <c r="CL21" s="3"/>
      <c r="CM21" s="3"/>
      <c r="CN21" s="3"/>
      <c r="CO21" s="3"/>
      <c r="CP21" s="3"/>
    </row>
    <row r="22" spans="1:94">
      <c r="A22" s="3">
        <v>56329</v>
      </c>
      <c r="B22" s="4" t="s">
        <v>1410</v>
      </c>
      <c r="C22" s="4" t="s">
        <v>63</v>
      </c>
      <c r="D22" s="4" t="s">
        <v>478</v>
      </c>
      <c r="E22" s="4" t="s">
        <v>479</v>
      </c>
      <c r="F22" s="4" t="s">
        <v>1411</v>
      </c>
      <c r="G22" s="4" t="s">
        <v>1412</v>
      </c>
      <c r="H22" s="4" t="s">
        <v>1413</v>
      </c>
      <c r="I22" s="4" t="s">
        <v>188</v>
      </c>
      <c r="J22" s="4" t="s">
        <v>1362</v>
      </c>
      <c r="K22" s="3">
        <v>57</v>
      </c>
      <c r="L22" s="4" t="s">
        <v>0</v>
      </c>
      <c r="M22" s="4" t="s">
        <v>1208</v>
      </c>
      <c r="N22" s="5">
        <v>2110.38</v>
      </c>
      <c r="O22" s="6">
        <v>40852</v>
      </c>
      <c r="P22" s="3"/>
      <c r="Q22" s="4" t="s">
        <v>2072</v>
      </c>
      <c r="R22" s="54"/>
      <c r="S22" s="69"/>
      <c r="T22" s="55"/>
      <c r="U22" s="55"/>
      <c r="V22" s="55"/>
      <c r="W22" s="55"/>
      <c r="X22" s="56"/>
      <c r="Y22" s="54"/>
      <c r="Z22" s="69"/>
      <c r="AA22" s="55"/>
      <c r="AB22" s="55"/>
      <c r="AC22" s="55"/>
      <c r="AD22" s="55"/>
      <c r="AE22" s="56"/>
      <c r="AF22" s="54"/>
      <c r="AG22" s="69"/>
      <c r="AH22" s="55"/>
      <c r="AI22" s="55"/>
      <c r="AJ22" s="55"/>
      <c r="AK22" s="55"/>
      <c r="AL22" s="56"/>
      <c r="AM22" s="54"/>
      <c r="AN22" s="69"/>
      <c r="AO22" s="55"/>
      <c r="AP22" s="55"/>
      <c r="AQ22" s="55"/>
      <c r="AR22" s="55"/>
      <c r="AS22" s="56"/>
      <c r="AT22" s="54"/>
      <c r="AU22" s="69"/>
      <c r="AV22" s="55"/>
      <c r="AW22" s="55"/>
      <c r="AX22" s="55"/>
      <c r="AY22" s="55"/>
      <c r="AZ22" s="56"/>
      <c r="BA22" s="65">
        <f t="shared" si="0"/>
        <v>0</v>
      </c>
      <c r="BB22" s="73"/>
      <c r="BC22" s="74"/>
      <c r="BD22" s="65"/>
      <c r="BE22" s="94"/>
      <c r="BF22" s="73"/>
      <c r="BG22" s="74"/>
      <c r="BH22" s="65"/>
      <c r="BI22" s="94"/>
      <c r="BJ22" s="73"/>
      <c r="BK22" s="74"/>
      <c r="BL22" s="65"/>
      <c r="BM22" s="94"/>
      <c r="BN22" s="65">
        <f t="shared" si="1"/>
        <v>0</v>
      </c>
      <c r="BO22" s="65" t="b">
        <f t="shared" si="2"/>
        <v>1</v>
      </c>
      <c r="BP22" s="70" t="s">
        <v>708</v>
      </c>
      <c r="BQ22" s="69" t="s">
        <v>1172</v>
      </c>
      <c r="BR22" s="55">
        <v>21</v>
      </c>
      <c r="BS22" s="57">
        <v>9.8000000000000007</v>
      </c>
      <c r="BT22" s="98">
        <v>205.8</v>
      </c>
      <c r="BU22" s="70" t="s">
        <v>3134</v>
      </c>
      <c r="BV22" s="69" t="s">
        <v>3135</v>
      </c>
      <c r="BW22" s="57">
        <v>0.01</v>
      </c>
      <c r="BX22" s="55"/>
      <c r="BY22" s="55">
        <v>1</v>
      </c>
      <c r="BZ22" s="58">
        <v>0.01</v>
      </c>
      <c r="CA22" s="70"/>
      <c r="CB22" s="69"/>
      <c r="CC22" s="55"/>
      <c r="CD22" s="55"/>
      <c r="CE22" s="55"/>
      <c r="CF22" s="56"/>
      <c r="CG22" s="3"/>
      <c r="CH22" s="5">
        <v>41.16</v>
      </c>
      <c r="CI22" s="3"/>
      <c r="CJ22" s="3"/>
      <c r="CK22" s="3"/>
      <c r="CL22" s="3"/>
      <c r="CM22" s="3"/>
      <c r="CN22" s="3"/>
      <c r="CO22" s="3"/>
      <c r="CP22" s="3"/>
    </row>
    <row r="23" spans="1:94">
      <c r="A23" s="3">
        <v>66265</v>
      </c>
      <c r="B23" s="4" t="s">
        <v>1414</v>
      </c>
      <c r="C23" s="4" t="s">
        <v>1307</v>
      </c>
      <c r="D23" s="4" t="s">
        <v>306</v>
      </c>
      <c r="E23" s="4" t="s">
        <v>307</v>
      </c>
      <c r="F23" s="4" t="s">
        <v>1379</v>
      </c>
      <c r="G23" s="4" t="s">
        <v>1380</v>
      </c>
      <c r="H23" s="4" t="s">
        <v>1381</v>
      </c>
      <c r="I23" s="4" t="s">
        <v>188</v>
      </c>
      <c r="J23" s="4" t="s">
        <v>1362</v>
      </c>
      <c r="K23" s="3">
        <v>57</v>
      </c>
      <c r="L23" s="4" t="s">
        <v>0</v>
      </c>
      <c r="M23" s="4" t="s">
        <v>118</v>
      </c>
      <c r="N23" s="5">
        <v>2289.7600000000002</v>
      </c>
      <c r="O23" s="6">
        <v>41396</v>
      </c>
      <c r="P23" s="3"/>
      <c r="Q23" s="4" t="s">
        <v>2072</v>
      </c>
      <c r="R23" s="54">
        <v>4</v>
      </c>
      <c r="S23" s="69" t="s">
        <v>3060</v>
      </c>
      <c r="T23" s="55"/>
      <c r="U23" s="57">
        <v>2.85</v>
      </c>
      <c r="V23" s="55">
        <v>19</v>
      </c>
      <c r="W23" s="55">
        <v>38</v>
      </c>
      <c r="X23" s="58">
        <v>108.3</v>
      </c>
      <c r="Y23" s="54">
        <v>29</v>
      </c>
      <c r="Z23" s="69" t="s">
        <v>3045</v>
      </c>
      <c r="AA23" s="55"/>
      <c r="AB23" s="57">
        <v>4.3499999999999996</v>
      </c>
      <c r="AC23" s="55">
        <v>20</v>
      </c>
      <c r="AD23" s="55">
        <v>40</v>
      </c>
      <c r="AE23" s="58">
        <v>174</v>
      </c>
      <c r="AF23" s="54"/>
      <c r="AG23" s="69"/>
      <c r="AH23" s="55"/>
      <c r="AI23" s="55"/>
      <c r="AJ23" s="55"/>
      <c r="AK23" s="55"/>
      <c r="AL23" s="56"/>
      <c r="AM23" s="54"/>
      <c r="AN23" s="69"/>
      <c r="AO23" s="55"/>
      <c r="AP23" s="55"/>
      <c r="AQ23" s="55"/>
      <c r="AR23" s="55"/>
      <c r="AS23" s="56"/>
      <c r="AT23" s="54"/>
      <c r="AU23" s="69"/>
      <c r="AV23" s="55"/>
      <c r="AW23" s="55"/>
      <c r="AX23" s="55"/>
      <c r="AY23" s="55"/>
      <c r="AZ23" s="56"/>
      <c r="BA23" s="65">
        <f t="shared" si="0"/>
        <v>282.3</v>
      </c>
      <c r="BB23" s="73">
        <f>VLOOKUP($C23,'REL. VT'!$C:Y,23,0)</f>
        <v>19</v>
      </c>
      <c r="BC23" s="74">
        <f>VLOOKUP($C23,'REL. VT'!$C:Z,24,0)</f>
        <v>2</v>
      </c>
      <c r="BD23" s="65">
        <f>VLOOKUP($C23,'REL. VT'!$C:AA,25,0)</f>
        <v>2.85</v>
      </c>
      <c r="BE23" s="97">
        <f>BB23*BC23*BD23</f>
        <v>108.3</v>
      </c>
      <c r="BF23" s="73">
        <f>VLOOKUP($C23,'REL. VT'!$C:AF,30,0)</f>
        <v>20</v>
      </c>
      <c r="BG23" s="74">
        <f>VLOOKUP($C23,'REL. VT'!$C:AG,31,0)</f>
        <v>2</v>
      </c>
      <c r="BH23" s="65">
        <f>VLOOKUP($C23,'REL. VT'!$C:AH,32,0)</f>
        <v>4.3499999999999996</v>
      </c>
      <c r="BI23" s="97">
        <f>BF23*BG23*BH23</f>
        <v>174</v>
      </c>
      <c r="BJ23" s="73"/>
      <c r="BK23" s="74"/>
      <c r="BL23" s="65"/>
      <c r="BM23" s="94"/>
      <c r="BN23" s="65">
        <f t="shared" si="1"/>
        <v>282.3</v>
      </c>
      <c r="BO23" s="65" t="b">
        <f t="shared" si="2"/>
        <v>1</v>
      </c>
      <c r="BP23" s="70" t="s">
        <v>708</v>
      </c>
      <c r="BQ23" s="69" t="s">
        <v>1172</v>
      </c>
      <c r="BR23" s="55">
        <v>20</v>
      </c>
      <c r="BS23" s="57">
        <v>9.8000000000000007</v>
      </c>
      <c r="BT23" s="98">
        <v>196</v>
      </c>
      <c r="BU23" s="70" t="s">
        <v>3134</v>
      </c>
      <c r="BV23" s="69" t="s">
        <v>3135</v>
      </c>
      <c r="BW23" s="57">
        <v>0.01</v>
      </c>
      <c r="BX23" s="55"/>
      <c r="BY23" s="55">
        <v>1</v>
      </c>
      <c r="BZ23" s="58">
        <v>0.01</v>
      </c>
      <c r="CA23" s="70"/>
      <c r="CB23" s="69"/>
      <c r="CC23" s="55"/>
      <c r="CD23" s="55"/>
      <c r="CE23" s="55"/>
      <c r="CF23" s="56"/>
      <c r="CG23" s="5">
        <v>137.38999999999999</v>
      </c>
      <c r="CH23" s="5">
        <v>39.200000000000003</v>
      </c>
      <c r="CI23" s="3"/>
      <c r="CJ23" s="3"/>
      <c r="CK23" s="3"/>
      <c r="CL23" s="3"/>
      <c r="CM23" s="3"/>
      <c r="CN23" s="3"/>
      <c r="CO23" s="3"/>
      <c r="CP23" s="3"/>
    </row>
    <row r="24" spans="1:94">
      <c r="A24" s="3">
        <v>72392</v>
      </c>
      <c r="B24" s="4" t="s">
        <v>3031</v>
      </c>
      <c r="C24" s="4" t="s">
        <v>3032</v>
      </c>
      <c r="D24" s="4" t="s">
        <v>306</v>
      </c>
      <c r="E24" s="4" t="s">
        <v>307</v>
      </c>
      <c r="F24" s="4" t="s">
        <v>1379</v>
      </c>
      <c r="G24" s="4" t="s">
        <v>1380</v>
      </c>
      <c r="H24" s="4" t="s">
        <v>1381</v>
      </c>
      <c r="I24" s="4" t="s">
        <v>188</v>
      </c>
      <c r="J24" s="4" t="s">
        <v>1362</v>
      </c>
      <c r="K24" s="3">
        <v>57</v>
      </c>
      <c r="L24" s="4" t="s">
        <v>0</v>
      </c>
      <c r="M24" s="4" t="s">
        <v>118</v>
      </c>
      <c r="N24" s="5">
        <v>2289.7600000000002</v>
      </c>
      <c r="O24" s="6">
        <v>41743</v>
      </c>
      <c r="P24" s="3"/>
      <c r="Q24" s="4" t="s">
        <v>2072</v>
      </c>
      <c r="R24" s="54">
        <v>4</v>
      </c>
      <c r="S24" s="69" t="s">
        <v>3060</v>
      </c>
      <c r="T24" s="55"/>
      <c r="U24" s="57">
        <v>2.85</v>
      </c>
      <c r="V24" s="55">
        <v>13</v>
      </c>
      <c r="W24" s="55">
        <v>26</v>
      </c>
      <c r="X24" s="58">
        <v>74.099999999999994</v>
      </c>
      <c r="Y24" s="54">
        <v>706</v>
      </c>
      <c r="Z24" s="69" t="s">
        <v>3061</v>
      </c>
      <c r="AA24" s="55"/>
      <c r="AB24" s="57">
        <v>1.43</v>
      </c>
      <c r="AC24" s="55">
        <v>13</v>
      </c>
      <c r="AD24" s="55">
        <v>26</v>
      </c>
      <c r="AE24" s="58">
        <v>37.18</v>
      </c>
      <c r="AF24" s="54"/>
      <c r="AG24" s="69"/>
      <c r="AH24" s="55"/>
      <c r="AI24" s="55"/>
      <c r="AJ24" s="55"/>
      <c r="AK24" s="55"/>
      <c r="AL24" s="56"/>
      <c r="AM24" s="54"/>
      <c r="AN24" s="69"/>
      <c r="AO24" s="55"/>
      <c r="AP24" s="55"/>
      <c r="AQ24" s="55"/>
      <c r="AR24" s="55"/>
      <c r="AS24" s="56"/>
      <c r="AT24" s="54"/>
      <c r="AU24" s="69"/>
      <c r="AV24" s="55"/>
      <c r="AW24" s="55"/>
      <c r="AX24" s="55"/>
      <c r="AY24" s="55"/>
      <c r="AZ24" s="56"/>
      <c r="BA24" s="65">
        <f t="shared" si="0"/>
        <v>111.28</v>
      </c>
      <c r="BB24" s="73">
        <f>VLOOKUP($C24,'REL. VT'!$C:Y,23,0)</f>
        <v>13</v>
      </c>
      <c r="BC24" s="74">
        <f>VLOOKUP($C24,'REL. VT'!$C:Z,24,0)</f>
        <v>2</v>
      </c>
      <c r="BD24" s="65">
        <f>VLOOKUP($C24,'REL. VT'!$C:AA,25,0)</f>
        <v>4.28</v>
      </c>
      <c r="BE24" s="97">
        <f>BB24*BC24*BD24</f>
        <v>111.28</v>
      </c>
      <c r="BF24" s="73"/>
      <c r="BG24" s="74"/>
      <c r="BH24" s="65"/>
      <c r="BI24" s="94"/>
      <c r="BJ24" s="73"/>
      <c r="BK24" s="74"/>
      <c r="BL24" s="65"/>
      <c r="BM24" s="94"/>
      <c r="BN24" s="65">
        <f t="shared" si="1"/>
        <v>111.28</v>
      </c>
      <c r="BO24" s="65" t="b">
        <f t="shared" si="2"/>
        <v>1</v>
      </c>
      <c r="BP24" s="70" t="s">
        <v>708</v>
      </c>
      <c r="BQ24" s="69" t="s">
        <v>1172</v>
      </c>
      <c r="BR24" s="55">
        <v>20</v>
      </c>
      <c r="BS24" s="57">
        <v>9.8000000000000007</v>
      </c>
      <c r="BT24" s="98">
        <v>196</v>
      </c>
      <c r="BU24" s="70" t="s">
        <v>3134</v>
      </c>
      <c r="BV24" s="69" t="s">
        <v>3135</v>
      </c>
      <c r="BW24" s="57">
        <v>0.01</v>
      </c>
      <c r="BX24" s="55"/>
      <c r="BY24" s="55">
        <v>1</v>
      </c>
      <c r="BZ24" s="58">
        <v>0.01</v>
      </c>
      <c r="CA24" s="70"/>
      <c r="CB24" s="69"/>
      <c r="CC24" s="55"/>
      <c r="CD24" s="55"/>
      <c r="CE24" s="55"/>
      <c r="CF24" s="56"/>
      <c r="CG24" s="5">
        <v>111.28</v>
      </c>
      <c r="CH24" s="5">
        <v>39.200000000000003</v>
      </c>
      <c r="CI24" s="3"/>
      <c r="CJ24" s="3"/>
      <c r="CK24" s="3"/>
      <c r="CL24" s="3"/>
      <c r="CM24" s="3"/>
      <c r="CN24" s="3"/>
      <c r="CO24" s="3"/>
      <c r="CP24" s="3"/>
    </row>
    <row r="25" spans="1:94">
      <c r="A25" s="3">
        <v>56080</v>
      </c>
      <c r="B25" s="4" t="s">
        <v>1415</v>
      </c>
      <c r="C25" s="4" t="s">
        <v>9</v>
      </c>
      <c r="D25" s="4" t="s">
        <v>306</v>
      </c>
      <c r="E25" s="4" t="s">
        <v>307</v>
      </c>
      <c r="F25" s="4" t="s">
        <v>1379</v>
      </c>
      <c r="G25" s="4" t="s">
        <v>1380</v>
      </c>
      <c r="H25" s="4" t="s">
        <v>1381</v>
      </c>
      <c r="I25" s="4" t="s">
        <v>188</v>
      </c>
      <c r="J25" s="4" t="s">
        <v>1362</v>
      </c>
      <c r="K25" s="3">
        <v>57</v>
      </c>
      <c r="L25" s="4" t="s">
        <v>0</v>
      </c>
      <c r="M25" s="4" t="s">
        <v>118</v>
      </c>
      <c r="N25" s="5">
        <v>2289.7600000000002</v>
      </c>
      <c r="O25" s="6">
        <v>40852</v>
      </c>
      <c r="P25" s="3"/>
      <c r="Q25" s="4" t="s">
        <v>2072</v>
      </c>
      <c r="R25" s="54"/>
      <c r="S25" s="69"/>
      <c r="T25" s="55"/>
      <c r="U25" s="55"/>
      <c r="V25" s="55"/>
      <c r="W25" s="55"/>
      <c r="X25" s="56"/>
      <c r="Y25" s="54"/>
      <c r="Z25" s="69"/>
      <c r="AA25" s="55"/>
      <c r="AB25" s="55"/>
      <c r="AC25" s="55"/>
      <c r="AD25" s="55"/>
      <c r="AE25" s="56"/>
      <c r="AF25" s="54"/>
      <c r="AG25" s="69"/>
      <c r="AH25" s="55"/>
      <c r="AI25" s="55"/>
      <c r="AJ25" s="55"/>
      <c r="AK25" s="55"/>
      <c r="AL25" s="56"/>
      <c r="AM25" s="54"/>
      <c r="AN25" s="69"/>
      <c r="AO25" s="55"/>
      <c r="AP25" s="55"/>
      <c r="AQ25" s="55"/>
      <c r="AR25" s="55"/>
      <c r="AS25" s="56"/>
      <c r="AT25" s="54"/>
      <c r="AU25" s="69"/>
      <c r="AV25" s="55"/>
      <c r="AW25" s="55"/>
      <c r="AX25" s="55"/>
      <c r="AY25" s="55"/>
      <c r="AZ25" s="56"/>
      <c r="BA25" s="65">
        <f t="shared" si="0"/>
        <v>0</v>
      </c>
      <c r="BB25" s="73"/>
      <c r="BC25" s="74"/>
      <c r="BD25" s="65"/>
      <c r="BE25" s="94"/>
      <c r="BF25" s="73"/>
      <c r="BG25" s="74"/>
      <c r="BH25" s="65"/>
      <c r="BI25" s="94"/>
      <c r="BJ25" s="73"/>
      <c r="BK25" s="74"/>
      <c r="BL25" s="65"/>
      <c r="BM25" s="94"/>
      <c r="BN25" s="65">
        <f t="shared" si="1"/>
        <v>0</v>
      </c>
      <c r="BO25" s="65" t="b">
        <f t="shared" si="2"/>
        <v>1</v>
      </c>
      <c r="BP25" s="70" t="s">
        <v>708</v>
      </c>
      <c r="BQ25" s="69" t="s">
        <v>1172</v>
      </c>
      <c r="BR25" s="55">
        <v>20</v>
      </c>
      <c r="BS25" s="57">
        <v>9.8000000000000007</v>
      </c>
      <c r="BT25" s="98">
        <v>196</v>
      </c>
      <c r="BU25" s="70" t="s">
        <v>3134</v>
      </c>
      <c r="BV25" s="69" t="s">
        <v>3135</v>
      </c>
      <c r="BW25" s="57">
        <v>0.01</v>
      </c>
      <c r="BX25" s="55"/>
      <c r="BY25" s="55">
        <v>1</v>
      </c>
      <c r="BZ25" s="58">
        <v>0.01</v>
      </c>
      <c r="CA25" s="70"/>
      <c r="CB25" s="69"/>
      <c r="CC25" s="55"/>
      <c r="CD25" s="55"/>
      <c r="CE25" s="55"/>
      <c r="CF25" s="56"/>
      <c r="CG25" s="3"/>
      <c r="CH25" s="5">
        <v>39.200000000000003</v>
      </c>
      <c r="CI25" s="3"/>
      <c r="CJ25" s="3"/>
      <c r="CK25" s="3"/>
      <c r="CL25" s="3"/>
      <c r="CM25" s="3"/>
      <c r="CN25" s="3"/>
      <c r="CO25" s="3"/>
      <c r="CP25" s="3"/>
    </row>
    <row r="26" spans="1:94">
      <c r="A26" s="3">
        <v>56030</v>
      </c>
      <c r="B26" s="4" t="s">
        <v>1416</v>
      </c>
      <c r="C26" s="4" t="s">
        <v>10</v>
      </c>
      <c r="D26" s="4" t="s">
        <v>306</v>
      </c>
      <c r="E26" s="4" t="s">
        <v>307</v>
      </c>
      <c r="F26" s="4" t="s">
        <v>1379</v>
      </c>
      <c r="G26" s="4" t="s">
        <v>1380</v>
      </c>
      <c r="H26" s="4" t="s">
        <v>1381</v>
      </c>
      <c r="I26" s="4" t="s">
        <v>188</v>
      </c>
      <c r="J26" s="4" t="s">
        <v>1362</v>
      </c>
      <c r="K26" s="3">
        <v>57</v>
      </c>
      <c r="L26" s="4" t="s">
        <v>0</v>
      </c>
      <c r="M26" s="4" t="s">
        <v>118</v>
      </c>
      <c r="N26" s="5">
        <v>2289.7600000000002</v>
      </c>
      <c r="O26" s="6">
        <v>40852</v>
      </c>
      <c r="P26" s="3"/>
      <c r="Q26" s="4" t="s">
        <v>2072</v>
      </c>
      <c r="R26" s="54">
        <v>4</v>
      </c>
      <c r="S26" s="69" t="s">
        <v>3060</v>
      </c>
      <c r="T26" s="55"/>
      <c r="U26" s="57">
        <v>2.85</v>
      </c>
      <c r="V26" s="55">
        <v>8</v>
      </c>
      <c r="W26" s="55">
        <v>16</v>
      </c>
      <c r="X26" s="58">
        <v>45.6</v>
      </c>
      <c r="Y26" s="54">
        <v>328</v>
      </c>
      <c r="Z26" s="69" t="s">
        <v>3050</v>
      </c>
      <c r="AA26" s="55"/>
      <c r="AB26" s="57">
        <v>3.7</v>
      </c>
      <c r="AC26" s="55">
        <v>12</v>
      </c>
      <c r="AD26" s="55">
        <v>24</v>
      </c>
      <c r="AE26" s="58">
        <v>88.8</v>
      </c>
      <c r="AF26" s="54"/>
      <c r="AG26" s="69"/>
      <c r="AH26" s="55"/>
      <c r="AI26" s="55"/>
      <c r="AJ26" s="55"/>
      <c r="AK26" s="55"/>
      <c r="AL26" s="56"/>
      <c r="AM26" s="54"/>
      <c r="AN26" s="69"/>
      <c r="AO26" s="55"/>
      <c r="AP26" s="55"/>
      <c r="AQ26" s="55"/>
      <c r="AR26" s="55"/>
      <c r="AS26" s="56"/>
      <c r="AT26" s="54"/>
      <c r="AU26" s="69"/>
      <c r="AV26" s="55"/>
      <c r="AW26" s="55"/>
      <c r="AX26" s="55"/>
      <c r="AY26" s="55"/>
      <c r="AZ26" s="56"/>
      <c r="BA26" s="65">
        <f t="shared" si="0"/>
        <v>134.4</v>
      </c>
      <c r="BB26" s="73">
        <f>VLOOKUP($C26,'REL. VT'!$C:Y,23,0)</f>
        <v>8</v>
      </c>
      <c r="BC26" s="74">
        <f>VLOOKUP($C26,'REL. VT'!$C:Z,24,0)</f>
        <v>2</v>
      </c>
      <c r="BD26" s="65">
        <f>VLOOKUP($C26,'REL. VT'!$C:AA,25,0)</f>
        <v>2.85</v>
      </c>
      <c r="BE26" s="97">
        <f>BB26*BC26*BD26</f>
        <v>45.6</v>
      </c>
      <c r="BF26" s="73">
        <f>VLOOKUP($C26,'REL. VT'!$C:AF,30,0)</f>
        <v>12</v>
      </c>
      <c r="BG26" s="74">
        <f>VLOOKUP($C26,'REL. VT'!$C:AG,31,0)</f>
        <v>2</v>
      </c>
      <c r="BH26" s="65">
        <f>VLOOKUP($C26,'REL. VT'!$C:AH,32,0)</f>
        <v>3.7</v>
      </c>
      <c r="BI26" s="97">
        <f>BF26*BG26*BH26</f>
        <v>88.800000000000011</v>
      </c>
      <c r="BJ26" s="73"/>
      <c r="BK26" s="74"/>
      <c r="BL26" s="65"/>
      <c r="BM26" s="94"/>
      <c r="BN26" s="65">
        <f t="shared" si="1"/>
        <v>134.4</v>
      </c>
      <c r="BO26" s="65" t="b">
        <f t="shared" si="2"/>
        <v>1</v>
      </c>
      <c r="BP26" s="70" t="s">
        <v>708</v>
      </c>
      <c r="BQ26" s="69" t="s">
        <v>1172</v>
      </c>
      <c r="BR26" s="55">
        <v>20</v>
      </c>
      <c r="BS26" s="57">
        <v>9.8000000000000007</v>
      </c>
      <c r="BT26" s="98">
        <v>196</v>
      </c>
      <c r="BU26" s="70" t="s">
        <v>3134</v>
      </c>
      <c r="BV26" s="69" t="s">
        <v>3135</v>
      </c>
      <c r="BW26" s="57">
        <v>0.01</v>
      </c>
      <c r="BX26" s="55"/>
      <c r="BY26" s="55">
        <v>1</v>
      </c>
      <c r="BZ26" s="58">
        <v>0.01</v>
      </c>
      <c r="CA26" s="70"/>
      <c r="CB26" s="69"/>
      <c r="CC26" s="55"/>
      <c r="CD26" s="55"/>
      <c r="CE26" s="55"/>
      <c r="CF26" s="56"/>
      <c r="CG26" s="5">
        <v>134.4</v>
      </c>
      <c r="CH26" s="5">
        <v>39.200000000000003</v>
      </c>
      <c r="CI26" s="3"/>
      <c r="CJ26" s="3"/>
      <c r="CK26" s="3"/>
      <c r="CL26" s="3"/>
      <c r="CM26" s="3"/>
      <c r="CN26" s="3"/>
      <c r="CO26" s="3"/>
      <c r="CP26" s="3"/>
    </row>
    <row r="27" spans="1:94">
      <c r="A27" s="3">
        <v>56004</v>
      </c>
      <c r="B27" s="4" t="s">
        <v>1417</v>
      </c>
      <c r="C27" s="4" t="s">
        <v>11</v>
      </c>
      <c r="D27" s="4" t="s">
        <v>306</v>
      </c>
      <c r="E27" s="4" t="s">
        <v>307</v>
      </c>
      <c r="F27" s="4" t="s">
        <v>1379</v>
      </c>
      <c r="G27" s="4" t="s">
        <v>1380</v>
      </c>
      <c r="H27" s="4" t="s">
        <v>1381</v>
      </c>
      <c r="I27" s="4" t="s">
        <v>188</v>
      </c>
      <c r="J27" s="4" t="s">
        <v>1362</v>
      </c>
      <c r="K27" s="3">
        <v>57</v>
      </c>
      <c r="L27" s="4" t="s">
        <v>0</v>
      </c>
      <c r="M27" s="4" t="s">
        <v>118</v>
      </c>
      <c r="N27" s="5">
        <v>2289.7600000000002</v>
      </c>
      <c r="O27" s="6">
        <v>40852</v>
      </c>
      <c r="P27" s="3"/>
      <c r="Q27" s="4" t="s">
        <v>2072</v>
      </c>
      <c r="R27" s="54"/>
      <c r="S27" s="69"/>
      <c r="T27" s="55"/>
      <c r="U27" s="55"/>
      <c r="V27" s="55"/>
      <c r="W27" s="55"/>
      <c r="X27" s="56"/>
      <c r="Y27" s="54"/>
      <c r="Z27" s="69"/>
      <c r="AA27" s="55"/>
      <c r="AB27" s="55"/>
      <c r="AC27" s="55"/>
      <c r="AD27" s="55"/>
      <c r="AE27" s="56"/>
      <c r="AF27" s="54"/>
      <c r="AG27" s="69"/>
      <c r="AH27" s="55"/>
      <c r="AI27" s="55"/>
      <c r="AJ27" s="55"/>
      <c r="AK27" s="55"/>
      <c r="AL27" s="56"/>
      <c r="AM27" s="54"/>
      <c r="AN27" s="69"/>
      <c r="AO27" s="55"/>
      <c r="AP27" s="55"/>
      <c r="AQ27" s="55"/>
      <c r="AR27" s="55"/>
      <c r="AS27" s="56"/>
      <c r="AT27" s="54"/>
      <c r="AU27" s="69"/>
      <c r="AV27" s="55"/>
      <c r="AW27" s="55"/>
      <c r="AX27" s="55"/>
      <c r="AY27" s="55"/>
      <c r="AZ27" s="56"/>
      <c r="BA27" s="65">
        <f t="shared" si="0"/>
        <v>0</v>
      </c>
      <c r="BB27" s="73"/>
      <c r="BC27" s="74"/>
      <c r="BD27" s="65"/>
      <c r="BE27" s="94"/>
      <c r="BF27" s="73"/>
      <c r="BG27" s="74"/>
      <c r="BH27" s="65"/>
      <c r="BI27" s="94"/>
      <c r="BJ27" s="73"/>
      <c r="BK27" s="74"/>
      <c r="BL27" s="65"/>
      <c r="BM27" s="94"/>
      <c r="BN27" s="65">
        <f t="shared" si="1"/>
        <v>0</v>
      </c>
      <c r="BO27" s="65" t="b">
        <f t="shared" si="2"/>
        <v>1</v>
      </c>
      <c r="BP27" s="70" t="s">
        <v>708</v>
      </c>
      <c r="BQ27" s="69" t="s">
        <v>1172</v>
      </c>
      <c r="BR27" s="55">
        <v>20</v>
      </c>
      <c r="BS27" s="57">
        <v>9.8000000000000007</v>
      </c>
      <c r="BT27" s="98">
        <v>196</v>
      </c>
      <c r="BU27" s="70" t="s">
        <v>3134</v>
      </c>
      <c r="BV27" s="69" t="s">
        <v>3135</v>
      </c>
      <c r="BW27" s="57">
        <v>0.01</v>
      </c>
      <c r="BX27" s="55"/>
      <c r="BY27" s="55">
        <v>1</v>
      </c>
      <c r="BZ27" s="58">
        <v>0.01</v>
      </c>
      <c r="CA27" s="70"/>
      <c r="CB27" s="69"/>
      <c r="CC27" s="55"/>
      <c r="CD27" s="55"/>
      <c r="CE27" s="55"/>
      <c r="CF27" s="56"/>
      <c r="CG27" s="3"/>
      <c r="CH27" s="5">
        <v>39.200000000000003</v>
      </c>
      <c r="CI27" s="3"/>
      <c r="CJ27" s="3"/>
      <c r="CK27" s="3"/>
      <c r="CL27" s="3"/>
      <c r="CM27" s="3"/>
      <c r="CN27" s="3"/>
      <c r="CO27" s="3"/>
      <c r="CP27" s="3"/>
    </row>
    <row r="28" spans="1:94">
      <c r="A28" s="3">
        <v>56007</v>
      </c>
      <c r="B28" s="4" t="s">
        <v>1418</v>
      </c>
      <c r="C28" s="4" t="s">
        <v>12</v>
      </c>
      <c r="D28" s="4" t="s">
        <v>306</v>
      </c>
      <c r="E28" s="4" t="s">
        <v>307</v>
      </c>
      <c r="F28" s="4" t="s">
        <v>1379</v>
      </c>
      <c r="G28" s="4" t="s">
        <v>1380</v>
      </c>
      <c r="H28" s="4" t="s">
        <v>1381</v>
      </c>
      <c r="I28" s="4" t="s">
        <v>188</v>
      </c>
      <c r="J28" s="4" t="s">
        <v>1362</v>
      </c>
      <c r="K28" s="3">
        <v>57</v>
      </c>
      <c r="L28" s="4" t="s">
        <v>0</v>
      </c>
      <c r="M28" s="4" t="s">
        <v>118</v>
      </c>
      <c r="N28" s="5">
        <v>2289.7600000000002</v>
      </c>
      <c r="O28" s="6">
        <v>40852</v>
      </c>
      <c r="P28" s="3"/>
      <c r="Q28" s="4" t="s">
        <v>2072</v>
      </c>
      <c r="R28" s="54">
        <v>4</v>
      </c>
      <c r="S28" s="69" t="s">
        <v>3060</v>
      </c>
      <c r="T28" s="55"/>
      <c r="U28" s="57">
        <v>2.85</v>
      </c>
      <c r="V28" s="55">
        <v>20</v>
      </c>
      <c r="W28" s="55">
        <v>40</v>
      </c>
      <c r="X28" s="58">
        <v>114</v>
      </c>
      <c r="Y28" s="54">
        <v>329</v>
      </c>
      <c r="Z28" s="69" t="s">
        <v>3044</v>
      </c>
      <c r="AA28" s="55"/>
      <c r="AB28" s="57">
        <v>3.25</v>
      </c>
      <c r="AC28" s="55">
        <v>4</v>
      </c>
      <c r="AD28" s="55">
        <v>8</v>
      </c>
      <c r="AE28" s="58">
        <v>26</v>
      </c>
      <c r="AF28" s="54"/>
      <c r="AG28" s="69"/>
      <c r="AH28" s="55"/>
      <c r="AI28" s="55"/>
      <c r="AJ28" s="55"/>
      <c r="AK28" s="55"/>
      <c r="AL28" s="56"/>
      <c r="AM28" s="54"/>
      <c r="AN28" s="69"/>
      <c r="AO28" s="55"/>
      <c r="AP28" s="55"/>
      <c r="AQ28" s="55"/>
      <c r="AR28" s="55"/>
      <c r="AS28" s="56"/>
      <c r="AT28" s="54"/>
      <c r="AU28" s="69"/>
      <c r="AV28" s="55"/>
      <c r="AW28" s="55"/>
      <c r="AX28" s="55"/>
      <c r="AY28" s="55"/>
      <c r="AZ28" s="56"/>
      <c r="BA28" s="65">
        <f t="shared" si="0"/>
        <v>140</v>
      </c>
      <c r="BB28" s="73">
        <f>VLOOKUP($C28,'REL. VT'!$C:Y,23,0)</f>
        <v>20</v>
      </c>
      <c r="BC28" s="74">
        <f>VLOOKUP($C28,'REL. VT'!$C:Z,24,0)</f>
        <v>2</v>
      </c>
      <c r="BD28" s="65">
        <f>VLOOKUP($C28,'REL. VT'!$C:AA,25,0)</f>
        <v>2.85</v>
      </c>
      <c r="BE28" s="97">
        <f>BB28*BC28*BD28</f>
        <v>114</v>
      </c>
      <c r="BF28" s="73">
        <f>VLOOKUP($C28,'REL. VT'!$C:AF,30,0)</f>
        <v>4</v>
      </c>
      <c r="BG28" s="74">
        <f>VLOOKUP($C28,'REL. VT'!$C:AG,31,0)</f>
        <v>2</v>
      </c>
      <c r="BH28" s="65">
        <f>VLOOKUP($C28,'REL. VT'!$C:AH,32,0)</f>
        <v>3.25</v>
      </c>
      <c r="BI28" s="97">
        <f>BF28*BG28*BH28</f>
        <v>26</v>
      </c>
      <c r="BJ28" s="73"/>
      <c r="BK28" s="74"/>
      <c r="BL28" s="65"/>
      <c r="BM28" s="94"/>
      <c r="BN28" s="65">
        <f t="shared" si="1"/>
        <v>140</v>
      </c>
      <c r="BO28" s="65" t="b">
        <f t="shared" si="2"/>
        <v>1</v>
      </c>
      <c r="BP28" s="70" t="s">
        <v>708</v>
      </c>
      <c r="BQ28" s="69" t="s">
        <v>1172</v>
      </c>
      <c r="BR28" s="55">
        <v>20</v>
      </c>
      <c r="BS28" s="57">
        <v>9.8000000000000007</v>
      </c>
      <c r="BT28" s="98">
        <v>196</v>
      </c>
      <c r="BU28" s="70" t="s">
        <v>3134</v>
      </c>
      <c r="BV28" s="69" t="s">
        <v>3135</v>
      </c>
      <c r="BW28" s="57">
        <v>0.01</v>
      </c>
      <c r="BX28" s="55"/>
      <c r="BY28" s="55">
        <v>1</v>
      </c>
      <c r="BZ28" s="58">
        <v>0.01</v>
      </c>
      <c r="CA28" s="70"/>
      <c r="CB28" s="69"/>
      <c r="CC28" s="55"/>
      <c r="CD28" s="55"/>
      <c r="CE28" s="55"/>
      <c r="CF28" s="56"/>
      <c r="CG28" s="5">
        <v>137.38999999999999</v>
      </c>
      <c r="CH28" s="5">
        <v>39.200000000000003</v>
      </c>
      <c r="CI28" s="3"/>
      <c r="CJ28" s="3"/>
      <c r="CK28" s="3"/>
      <c r="CL28" s="3"/>
      <c r="CM28" s="3"/>
      <c r="CN28" s="3"/>
      <c r="CO28" s="3"/>
      <c r="CP28" s="3"/>
    </row>
    <row r="29" spans="1:94">
      <c r="A29" s="3">
        <v>56048</v>
      </c>
      <c r="B29" s="4" t="s">
        <v>1419</v>
      </c>
      <c r="C29" s="4" t="s">
        <v>554</v>
      </c>
      <c r="D29" s="4" t="s">
        <v>459</v>
      </c>
      <c r="E29" s="4" t="s">
        <v>460</v>
      </c>
      <c r="F29" s="4" t="s">
        <v>1407</v>
      </c>
      <c r="G29" s="4" t="s">
        <v>1408</v>
      </c>
      <c r="H29" s="4" t="s">
        <v>1409</v>
      </c>
      <c r="I29" s="4" t="s">
        <v>188</v>
      </c>
      <c r="J29" s="4" t="s">
        <v>1362</v>
      </c>
      <c r="K29" s="3">
        <v>57</v>
      </c>
      <c r="L29" s="4" t="s">
        <v>0</v>
      </c>
      <c r="M29" s="4" t="s">
        <v>278</v>
      </c>
      <c r="N29" s="5">
        <v>2110.38</v>
      </c>
      <c r="O29" s="6">
        <v>40852</v>
      </c>
      <c r="P29" s="3"/>
      <c r="Q29" s="4" t="s">
        <v>2072</v>
      </c>
      <c r="R29" s="54">
        <v>4</v>
      </c>
      <c r="S29" s="69" t="s">
        <v>3060</v>
      </c>
      <c r="T29" s="55"/>
      <c r="U29" s="57">
        <v>2.85</v>
      </c>
      <c r="V29" s="55">
        <v>21</v>
      </c>
      <c r="W29" s="55">
        <v>42</v>
      </c>
      <c r="X29" s="58">
        <v>119.7</v>
      </c>
      <c r="Y29" s="54">
        <v>332</v>
      </c>
      <c r="Z29" s="69" t="s">
        <v>3052</v>
      </c>
      <c r="AA29" s="55"/>
      <c r="AB29" s="57">
        <v>6.45</v>
      </c>
      <c r="AC29" s="55">
        <v>15</v>
      </c>
      <c r="AD29" s="55">
        <v>30</v>
      </c>
      <c r="AE29" s="58">
        <v>193.5</v>
      </c>
      <c r="AF29" s="54"/>
      <c r="AG29" s="69"/>
      <c r="AH29" s="55"/>
      <c r="AI29" s="55"/>
      <c r="AJ29" s="55"/>
      <c r="AK29" s="55"/>
      <c r="AL29" s="56"/>
      <c r="AM29" s="54"/>
      <c r="AN29" s="69"/>
      <c r="AO29" s="55"/>
      <c r="AP29" s="55"/>
      <c r="AQ29" s="55"/>
      <c r="AR29" s="55"/>
      <c r="AS29" s="56"/>
      <c r="AT29" s="54"/>
      <c r="AU29" s="69"/>
      <c r="AV29" s="55"/>
      <c r="AW29" s="55"/>
      <c r="AX29" s="55"/>
      <c r="AY29" s="55"/>
      <c r="AZ29" s="56"/>
      <c r="BA29" s="65">
        <f t="shared" si="0"/>
        <v>313.2</v>
      </c>
      <c r="BB29" s="73">
        <f>VLOOKUP($C29,'REL. VT'!$C:Y,23,0)</f>
        <v>21</v>
      </c>
      <c r="BC29" s="74">
        <f>VLOOKUP($C29,'REL. VT'!$C:Z,24,0)</f>
        <v>2</v>
      </c>
      <c r="BD29" s="65">
        <f>VLOOKUP($C29,'REL. VT'!$C:AA,25,0)</f>
        <v>2.85</v>
      </c>
      <c r="BE29" s="97">
        <f>BB29*BC29*BD29</f>
        <v>119.7</v>
      </c>
      <c r="BF29" s="73">
        <f>VLOOKUP($C29,'REL. VT'!$C:AF,30,0)</f>
        <v>15</v>
      </c>
      <c r="BG29" s="74">
        <f>VLOOKUP($C29,'REL. VT'!$C:AG,31,0)</f>
        <v>2</v>
      </c>
      <c r="BH29" s="65">
        <f>VLOOKUP($C29,'REL. VT'!$C:AH,32,0)</f>
        <v>6.45</v>
      </c>
      <c r="BI29" s="97">
        <f>BF29*BG29*BH29</f>
        <v>193.5</v>
      </c>
      <c r="BJ29" s="73"/>
      <c r="BK29" s="74"/>
      <c r="BL29" s="65"/>
      <c r="BM29" s="94"/>
      <c r="BN29" s="65">
        <f t="shared" si="1"/>
        <v>313.2</v>
      </c>
      <c r="BO29" s="65" t="b">
        <f t="shared" si="2"/>
        <v>1</v>
      </c>
      <c r="BP29" s="70" t="s">
        <v>708</v>
      </c>
      <c r="BQ29" s="69" t="s">
        <v>1172</v>
      </c>
      <c r="BR29" s="55">
        <v>21</v>
      </c>
      <c r="BS29" s="57">
        <v>9.8000000000000007</v>
      </c>
      <c r="BT29" s="98">
        <v>205.8</v>
      </c>
      <c r="BU29" s="70" t="s">
        <v>3134</v>
      </c>
      <c r="BV29" s="69" t="s">
        <v>3135</v>
      </c>
      <c r="BW29" s="57">
        <v>0.01</v>
      </c>
      <c r="BX29" s="55"/>
      <c r="BY29" s="55">
        <v>1</v>
      </c>
      <c r="BZ29" s="58">
        <v>0.01</v>
      </c>
      <c r="CA29" s="70"/>
      <c r="CB29" s="69"/>
      <c r="CC29" s="55"/>
      <c r="CD29" s="55"/>
      <c r="CE29" s="55"/>
      <c r="CF29" s="56"/>
      <c r="CG29" s="5">
        <v>126.62</v>
      </c>
      <c r="CH29" s="5">
        <v>41.16</v>
      </c>
      <c r="CI29" s="3"/>
      <c r="CJ29" s="3"/>
      <c r="CK29" s="3"/>
      <c r="CL29" s="3"/>
      <c r="CM29" s="3"/>
      <c r="CN29" s="3"/>
      <c r="CO29" s="3"/>
      <c r="CP29" s="3"/>
    </row>
    <row r="30" spans="1:94">
      <c r="A30" s="3">
        <v>62808</v>
      </c>
      <c r="B30" s="4" t="s">
        <v>1420</v>
      </c>
      <c r="C30" s="4" t="s">
        <v>1200</v>
      </c>
      <c r="D30" s="4" t="s">
        <v>306</v>
      </c>
      <c r="E30" s="4" t="s">
        <v>307</v>
      </c>
      <c r="F30" s="4" t="s">
        <v>1379</v>
      </c>
      <c r="G30" s="4" t="s">
        <v>1380</v>
      </c>
      <c r="H30" s="4" t="s">
        <v>1381</v>
      </c>
      <c r="I30" s="4" t="s">
        <v>188</v>
      </c>
      <c r="J30" s="4" t="s">
        <v>1362</v>
      </c>
      <c r="K30" s="3">
        <v>57</v>
      </c>
      <c r="L30" s="4" t="s">
        <v>0</v>
      </c>
      <c r="M30" s="4" t="s">
        <v>118</v>
      </c>
      <c r="N30" s="5">
        <v>2289.7600000000002</v>
      </c>
      <c r="O30" s="6">
        <v>41235</v>
      </c>
      <c r="P30" s="3"/>
      <c r="Q30" s="4" t="s">
        <v>2072</v>
      </c>
      <c r="R30" s="54"/>
      <c r="S30" s="69"/>
      <c r="T30" s="55"/>
      <c r="U30" s="55"/>
      <c r="V30" s="55"/>
      <c r="W30" s="55"/>
      <c r="X30" s="56"/>
      <c r="Y30" s="54"/>
      <c r="Z30" s="69"/>
      <c r="AA30" s="55"/>
      <c r="AB30" s="55"/>
      <c r="AC30" s="55"/>
      <c r="AD30" s="55"/>
      <c r="AE30" s="56"/>
      <c r="AF30" s="54"/>
      <c r="AG30" s="69"/>
      <c r="AH30" s="55"/>
      <c r="AI30" s="55"/>
      <c r="AJ30" s="55"/>
      <c r="AK30" s="55"/>
      <c r="AL30" s="56"/>
      <c r="AM30" s="54"/>
      <c r="AN30" s="69"/>
      <c r="AO30" s="55"/>
      <c r="AP30" s="55"/>
      <c r="AQ30" s="55"/>
      <c r="AR30" s="55"/>
      <c r="AS30" s="56"/>
      <c r="AT30" s="54"/>
      <c r="AU30" s="69"/>
      <c r="AV30" s="55"/>
      <c r="AW30" s="55"/>
      <c r="AX30" s="55"/>
      <c r="AY30" s="55"/>
      <c r="AZ30" s="56"/>
      <c r="BA30" s="65">
        <f t="shared" si="0"/>
        <v>0</v>
      </c>
      <c r="BB30" s="73"/>
      <c r="BC30" s="74"/>
      <c r="BD30" s="65"/>
      <c r="BE30" s="94"/>
      <c r="BF30" s="73"/>
      <c r="BG30" s="74"/>
      <c r="BH30" s="65"/>
      <c r="BI30" s="94"/>
      <c r="BJ30" s="73"/>
      <c r="BK30" s="74"/>
      <c r="BL30" s="65"/>
      <c r="BM30" s="94"/>
      <c r="BN30" s="65">
        <f t="shared" si="1"/>
        <v>0</v>
      </c>
      <c r="BO30" s="65" t="b">
        <f t="shared" si="2"/>
        <v>1</v>
      </c>
      <c r="BP30" s="70" t="s">
        <v>708</v>
      </c>
      <c r="BQ30" s="69" t="s">
        <v>1172</v>
      </c>
      <c r="BR30" s="55">
        <v>20</v>
      </c>
      <c r="BS30" s="57">
        <v>9.8000000000000007</v>
      </c>
      <c r="BT30" s="98">
        <v>196</v>
      </c>
      <c r="BU30" s="70" t="s">
        <v>3134</v>
      </c>
      <c r="BV30" s="69" t="s">
        <v>3135</v>
      </c>
      <c r="BW30" s="57">
        <v>0.01</v>
      </c>
      <c r="BX30" s="55"/>
      <c r="BY30" s="55">
        <v>1</v>
      </c>
      <c r="BZ30" s="58">
        <v>0.01</v>
      </c>
      <c r="CA30" s="70"/>
      <c r="CB30" s="69"/>
      <c r="CC30" s="55"/>
      <c r="CD30" s="55"/>
      <c r="CE30" s="55"/>
      <c r="CF30" s="56"/>
      <c r="CG30" s="3"/>
      <c r="CH30" s="5">
        <v>39.200000000000003</v>
      </c>
      <c r="CI30" s="3"/>
      <c r="CJ30" s="3"/>
      <c r="CK30" s="3"/>
      <c r="CL30" s="3"/>
      <c r="CM30" s="3"/>
      <c r="CN30" s="3"/>
      <c r="CO30" s="3"/>
      <c r="CP30" s="3"/>
    </row>
    <row r="31" spans="1:94">
      <c r="A31" s="3">
        <v>56064</v>
      </c>
      <c r="B31" s="4" t="s">
        <v>1421</v>
      </c>
      <c r="C31" s="4" t="s">
        <v>13</v>
      </c>
      <c r="D31" s="4" t="s">
        <v>306</v>
      </c>
      <c r="E31" s="4" t="s">
        <v>307</v>
      </c>
      <c r="F31" s="4" t="s">
        <v>1379</v>
      </c>
      <c r="G31" s="4" t="s">
        <v>1380</v>
      </c>
      <c r="H31" s="4" t="s">
        <v>1381</v>
      </c>
      <c r="I31" s="4" t="s">
        <v>188</v>
      </c>
      <c r="J31" s="4" t="s">
        <v>1362</v>
      </c>
      <c r="K31" s="3">
        <v>57</v>
      </c>
      <c r="L31" s="4" t="s">
        <v>0</v>
      </c>
      <c r="M31" s="4" t="s">
        <v>118</v>
      </c>
      <c r="N31" s="5">
        <v>2289.7600000000002</v>
      </c>
      <c r="O31" s="6">
        <v>40852</v>
      </c>
      <c r="P31" s="3"/>
      <c r="Q31" s="4" t="s">
        <v>2072</v>
      </c>
      <c r="R31" s="54"/>
      <c r="S31" s="69"/>
      <c r="T31" s="55"/>
      <c r="U31" s="55"/>
      <c r="V31" s="55"/>
      <c r="W31" s="55"/>
      <c r="X31" s="56"/>
      <c r="Y31" s="54"/>
      <c r="Z31" s="69"/>
      <c r="AA31" s="55"/>
      <c r="AB31" s="55"/>
      <c r="AC31" s="55"/>
      <c r="AD31" s="55"/>
      <c r="AE31" s="56"/>
      <c r="AF31" s="54"/>
      <c r="AG31" s="69"/>
      <c r="AH31" s="55"/>
      <c r="AI31" s="55"/>
      <c r="AJ31" s="55"/>
      <c r="AK31" s="55"/>
      <c r="AL31" s="56"/>
      <c r="AM31" s="54"/>
      <c r="AN31" s="69"/>
      <c r="AO31" s="55"/>
      <c r="AP31" s="55"/>
      <c r="AQ31" s="55"/>
      <c r="AR31" s="55"/>
      <c r="AS31" s="56"/>
      <c r="AT31" s="54"/>
      <c r="AU31" s="69"/>
      <c r="AV31" s="55"/>
      <c r="AW31" s="55"/>
      <c r="AX31" s="55"/>
      <c r="AY31" s="55"/>
      <c r="AZ31" s="56"/>
      <c r="BA31" s="65">
        <f t="shared" si="0"/>
        <v>0</v>
      </c>
      <c r="BB31" s="73"/>
      <c r="BC31" s="74"/>
      <c r="BD31" s="65"/>
      <c r="BE31" s="94"/>
      <c r="BF31" s="73"/>
      <c r="BG31" s="74"/>
      <c r="BH31" s="65"/>
      <c r="BI31" s="94"/>
      <c r="BJ31" s="73"/>
      <c r="BK31" s="74"/>
      <c r="BL31" s="65"/>
      <c r="BM31" s="94"/>
      <c r="BN31" s="65">
        <f t="shared" si="1"/>
        <v>0</v>
      </c>
      <c r="BO31" s="65" t="b">
        <f t="shared" si="2"/>
        <v>1</v>
      </c>
      <c r="BP31" s="70" t="s">
        <v>708</v>
      </c>
      <c r="BQ31" s="69" t="s">
        <v>1172</v>
      </c>
      <c r="BR31" s="55">
        <v>20</v>
      </c>
      <c r="BS31" s="57">
        <v>9.8000000000000007</v>
      </c>
      <c r="BT31" s="98">
        <v>196</v>
      </c>
      <c r="BU31" s="70" t="s">
        <v>3134</v>
      </c>
      <c r="BV31" s="69" t="s">
        <v>3135</v>
      </c>
      <c r="BW31" s="57">
        <v>0.01</v>
      </c>
      <c r="BX31" s="55"/>
      <c r="BY31" s="55">
        <v>1</v>
      </c>
      <c r="BZ31" s="58">
        <v>0.01</v>
      </c>
      <c r="CA31" s="70"/>
      <c r="CB31" s="69"/>
      <c r="CC31" s="55"/>
      <c r="CD31" s="55"/>
      <c r="CE31" s="55"/>
      <c r="CF31" s="56"/>
      <c r="CG31" s="3"/>
      <c r="CH31" s="5">
        <v>39.200000000000003</v>
      </c>
      <c r="CI31" s="3"/>
      <c r="CJ31" s="3"/>
      <c r="CK31" s="3"/>
      <c r="CL31" s="3"/>
      <c r="CM31" s="3"/>
      <c r="CN31" s="3"/>
      <c r="CO31" s="3"/>
      <c r="CP31" s="3"/>
    </row>
    <row r="32" spans="1:94">
      <c r="A32" s="3">
        <v>56097</v>
      </c>
      <c r="B32" s="4" t="s">
        <v>1422</v>
      </c>
      <c r="C32" s="4" t="s">
        <v>55</v>
      </c>
      <c r="D32" s="4" t="s">
        <v>573</v>
      </c>
      <c r="E32" s="4" t="s">
        <v>574</v>
      </c>
      <c r="F32" s="4" t="s">
        <v>1423</v>
      </c>
      <c r="G32" s="4" t="s">
        <v>1424</v>
      </c>
      <c r="H32" s="4" t="s">
        <v>1425</v>
      </c>
      <c r="I32" s="4" t="s">
        <v>188</v>
      </c>
      <c r="J32" s="4" t="s">
        <v>1362</v>
      </c>
      <c r="K32" s="3">
        <v>57</v>
      </c>
      <c r="L32" s="4" t="s">
        <v>0</v>
      </c>
      <c r="M32" s="4" t="s">
        <v>1220</v>
      </c>
      <c r="N32" s="5">
        <v>2110.38</v>
      </c>
      <c r="O32" s="6">
        <v>40852</v>
      </c>
      <c r="P32" s="3"/>
      <c r="Q32" s="4" t="s">
        <v>2072</v>
      </c>
      <c r="R32" s="54"/>
      <c r="S32" s="69"/>
      <c r="T32" s="55"/>
      <c r="U32" s="55"/>
      <c r="V32" s="55"/>
      <c r="W32" s="55"/>
      <c r="X32" s="56"/>
      <c r="Y32" s="54"/>
      <c r="Z32" s="69"/>
      <c r="AA32" s="55"/>
      <c r="AB32" s="55"/>
      <c r="AC32" s="55"/>
      <c r="AD32" s="55"/>
      <c r="AE32" s="56"/>
      <c r="AF32" s="54"/>
      <c r="AG32" s="69"/>
      <c r="AH32" s="55"/>
      <c r="AI32" s="55"/>
      <c r="AJ32" s="55"/>
      <c r="AK32" s="55"/>
      <c r="AL32" s="56"/>
      <c r="AM32" s="54"/>
      <c r="AN32" s="69"/>
      <c r="AO32" s="55"/>
      <c r="AP32" s="55"/>
      <c r="AQ32" s="55"/>
      <c r="AR32" s="55"/>
      <c r="AS32" s="56"/>
      <c r="AT32" s="54"/>
      <c r="AU32" s="69"/>
      <c r="AV32" s="55"/>
      <c r="AW32" s="55"/>
      <c r="AX32" s="55"/>
      <c r="AY32" s="55"/>
      <c r="AZ32" s="56"/>
      <c r="BA32" s="65">
        <f t="shared" si="0"/>
        <v>0</v>
      </c>
      <c r="BB32" s="73"/>
      <c r="BC32" s="74"/>
      <c r="BD32" s="65"/>
      <c r="BE32" s="94"/>
      <c r="BF32" s="73"/>
      <c r="BG32" s="74"/>
      <c r="BH32" s="65"/>
      <c r="BI32" s="94"/>
      <c r="BJ32" s="73"/>
      <c r="BK32" s="74"/>
      <c r="BL32" s="65"/>
      <c r="BM32" s="94"/>
      <c r="BN32" s="65">
        <f t="shared" si="1"/>
        <v>0</v>
      </c>
      <c r="BO32" s="65" t="b">
        <f t="shared" si="2"/>
        <v>1</v>
      </c>
      <c r="BP32" s="70" t="s">
        <v>708</v>
      </c>
      <c r="BQ32" s="69" t="s">
        <v>1172</v>
      </c>
      <c r="BR32" s="55">
        <v>13</v>
      </c>
      <c r="BS32" s="57">
        <v>9.8000000000000007</v>
      </c>
      <c r="BT32" s="98">
        <v>127.4</v>
      </c>
      <c r="BU32" s="70" t="s">
        <v>3134</v>
      </c>
      <c r="BV32" s="69" t="s">
        <v>3135</v>
      </c>
      <c r="BW32" s="57">
        <v>0.01</v>
      </c>
      <c r="BX32" s="55"/>
      <c r="BY32" s="55">
        <v>1</v>
      </c>
      <c r="BZ32" s="58">
        <v>0.01</v>
      </c>
      <c r="CA32" s="70"/>
      <c r="CB32" s="69"/>
      <c r="CC32" s="55"/>
      <c r="CD32" s="55"/>
      <c r="CE32" s="55"/>
      <c r="CF32" s="56"/>
      <c r="CG32" s="3"/>
      <c r="CH32" s="5">
        <v>25.48</v>
      </c>
      <c r="CI32" s="6">
        <v>41834</v>
      </c>
      <c r="CJ32" s="6">
        <v>41863</v>
      </c>
      <c r="CK32" s="3"/>
      <c r="CL32" s="3"/>
      <c r="CM32" s="3"/>
      <c r="CN32" s="3"/>
      <c r="CO32" s="3"/>
      <c r="CP32" s="3"/>
    </row>
    <row r="33" spans="1:94">
      <c r="A33" s="3">
        <v>56132</v>
      </c>
      <c r="B33" s="4" t="s">
        <v>1426</v>
      </c>
      <c r="C33" s="4" t="s">
        <v>59</v>
      </c>
      <c r="D33" s="4" t="s">
        <v>456</v>
      </c>
      <c r="E33" s="4" t="s">
        <v>457</v>
      </c>
      <c r="F33" s="4" t="s">
        <v>1403</v>
      </c>
      <c r="G33" s="4" t="s">
        <v>1404</v>
      </c>
      <c r="H33" s="4" t="s">
        <v>1405</v>
      </c>
      <c r="I33" s="4" t="s">
        <v>188</v>
      </c>
      <c r="J33" s="4" t="s">
        <v>1362</v>
      </c>
      <c r="K33" s="3">
        <v>57</v>
      </c>
      <c r="L33" s="4" t="s">
        <v>0</v>
      </c>
      <c r="M33" s="4" t="s">
        <v>329</v>
      </c>
      <c r="N33" s="5">
        <v>2110.38</v>
      </c>
      <c r="O33" s="6">
        <v>40852</v>
      </c>
      <c r="P33" s="3"/>
      <c r="Q33" s="4" t="s">
        <v>2072</v>
      </c>
      <c r="R33" s="54"/>
      <c r="S33" s="69"/>
      <c r="T33" s="55"/>
      <c r="U33" s="55"/>
      <c r="V33" s="55"/>
      <c r="W33" s="55"/>
      <c r="X33" s="56"/>
      <c r="Y33" s="54"/>
      <c r="Z33" s="69"/>
      <c r="AA33" s="55"/>
      <c r="AB33" s="55"/>
      <c r="AC33" s="55"/>
      <c r="AD33" s="55"/>
      <c r="AE33" s="56"/>
      <c r="AF33" s="54"/>
      <c r="AG33" s="69"/>
      <c r="AH33" s="55"/>
      <c r="AI33" s="55"/>
      <c r="AJ33" s="55"/>
      <c r="AK33" s="55"/>
      <c r="AL33" s="56"/>
      <c r="AM33" s="54"/>
      <c r="AN33" s="69"/>
      <c r="AO33" s="55"/>
      <c r="AP33" s="55"/>
      <c r="AQ33" s="55"/>
      <c r="AR33" s="55"/>
      <c r="AS33" s="56"/>
      <c r="AT33" s="54"/>
      <c r="AU33" s="69"/>
      <c r="AV33" s="55"/>
      <c r="AW33" s="55"/>
      <c r="AX33" s="55"/>
      <c r="AY33" s="55"/>
      <c r="AZ33" s="56"/>
      <c r="BA33" s="65">
        <f t="shared" si="0"/>
        <v>0</v>
      </c>
      <c r="BB33" s="73"/>
      <c r="BC33" s="74"/>
      <c r="BD33" s="65"/>
      <c r="BE33" s="94"/>
      <c r="BF33" s="73"/>
      <c r="BG33" s="74"/>
      <c r="BH33" s="65"/>
      <c r="BI33" s="94"/>
      <c r="BJ33" s="73"/>
      <c r="BK33" s="74"/>
      <c r="BL33" s="65"/>
      <c r="BM33" s="94"/>
      <c r="BN33" s="65">
        <f t="shared" si="1"/>
        <v>0</v>
      </c>
      <c r="BO33" s="65" t="b">
        <f t="shared" si="2"/>
        <v>1</v>
      </c>
      <c r="BP33" s="70" t="s">
        <v>708</v>
      </c>
      <c r="BQ33" s="69" t="s">
        <v>1172</v>
      </c>
      <c r="BR33" s="55">
        <v>21</v>
      </c>
      <c r="BS33" s="57">
        <v>9.8000000000000007</v>
      </c>
      <c r="BT33" s="98">
        <v>205.8</v>
      </c>
      <c r="BU33" s="70" t="s">
        <v>3134</v>
      </c>
      <c r="BV33" s="69" t="s">
        <v>3135</v>
      </c>
      <c r="BW33" s="57">
        <v>0.01</v>
      </c>
      <c r="BX33" s="55"/>
      <c r="BY33" s="55">
        <v>1</v>
      </c>
      <c r="BZ33" s="58">
        <v>0.01</v>
      </c>
      <c r="CA33" s="70"/>
      <c r="CB33" s="69"/>
      <c r="CC33" s="55"/>
      <c r="CD33" s="55"/>
      <c r="CE33" s="55"/>
      <c r="CF33" s="56"/>
      <c r="CG33" s="3"/>
      <c r="CH33" s="5">
        <v>41.16</v>
      </c>
      <c r="CI33" s="3"/>
      <c r="CJ33" s="3"/>
      <c r="CK33" s="3"/>
      <c r="CL33" s="3"/>
      <c r="CM33" s="3"/>
      <c r="CN33" s="3"/>
      <c r="CO33" s="3"/>
      <c r="CP33" s="3"/>
    </row>
    <row r="34" spans="1:94">
      <c r="A34" s="3">
        <v>65169</v>
      </c>
      <c r="B34" s="4" t="s">
        <v>1516</v>
      </c>
      <c r="C34" s="4" t="s">
        <v>1279</v>
      </c>
      <c r="D34" s="4" t="s">
        <v>1280</v>
      </c>
      <c r="E34" s="4" t="s">
        <v>1281</v>
      </c>
      <c r="F34" s="4" t="s">
        <v>1517</v>
      </c>
      <c r="G34" s="4" t="s">
        <v>1518</v>
      </c>
      <c r="H34" s="4" t="s">
        <v>1519</v>
      </c>
      <c r="I34" s="4" t="s">
        <v>114</v>
      </c>
      <c r="J34" s="4" t="s">
        <v>1362</v>
      </c>
      <c r="K34" s="3">
        <v>57</v>
      </c>
      <c r="L34" s="4" t="s">
        <v>0</v>
      </c>
      <c r="M34" s="4" t="s">
        <v>1220</v>
      </c>
      <c r="N34" s="5">
        <v>2110.38</v>
      </c>
      <c r="O34" s="6">
        <v>41344</v>
      </c>
      <c r="P34" s="3"/>
      <c r="Q34" s="4" t="s">
        <v>2072</v>
      </c>
      <c r="R34" s="54">
        <v>123</v>
      </c>
      <c r="S34" s="69" t="s">
        <v>3051</v>
      </c>
      <c r="T34" s="55"/>
      <c r="U34" s="57">
        <v>2.5</v>
      </c>
      <c r="V34" s="55">
        <v>21</v>
      </c>
      <c r="W34" s="55">
        <v>84</v>
      </c>
      <c r="X34" s="58">
        <v>210</v>
      </c>
      <c r="Y34" s="54"/>
      <c r="Z34" s="69"/>
      <c r="AA34" s="55"/>
      <c r="AB34" s="55"/>
      <c r="AC34" s="55"/>
      <c r="AD34" s="55"/>
      <c r="AE34" s="56"/>
      <c r="AF34" s="54"/>
      <c r="AG34" s="69"/>
      <c r="AH34" s="55"/>
      <c r="AI34" s="55"/>
      <c r="AJ34" s="55"/>
      <c r="AK34" s="55"/>
      <c r="AL34" s="56"/>
      <c r="AM34" s="54"/>
      <c r="AN34" s="69"/>
      <c r="AO34" s="55"/>
      <c r="AP34" s="55"/>
      <c r="AQ34" s="55"/>
      <c r="AR34" s="55"/>
      <c r="AS34" s="56"/>
      <c r="AT34" s="54"/>
      <c r="AU34" s="69"/>
      <c r="AV34" s="55"/>
      <c r="AW34" s="55"/>
      <c r="AX34" s="55"/>
      <c r="AY34" s="55"/>
      <c r="AZ34" s="56"/>
      <c r="BA34" s="65">
        <f t="shared" si="0"/>
        <v>210</v>
      </c>
      <c r="BB34" s="73"/>
      <c r="BC34" s="74"/>
      <c r="BD34" s="65"/>
      <c r="BE34" s="94"/>
      <c r="BF34" s="73"/>
      <c r="BG34" s="74"/>
      <c r="BH34" s="65"/>
      <c r="BI34" s="94"/>
      <c r="BJ34" s="73">
        <f>VLOOKUP($C34,'REL. VT'!$C:AM,37,0)</f>
        <v>21</v>
      </c>
      <c r="BK34" s="74">
        <f>VLOOKUP($C34,'REL. VT'!$C:AN,38,0)</f>
        <v>4</v>
      </c>
      <c r="BL34" s="65">
        <f>VLOOKUP($C34,'REL. VT'!$C:AO,39,0)</f>
        <v>2.5</v>
      </c>
      <c r="BM34" s="97">
        <f>BJ34*BK34*BL34</f>
        <v>210</v>
      </c>
      <c r="BN34" s="65">
        <f t="shared" si="1"/>
        <v>210</v>
      </c>
      <c r="BO34" s="65" t="b">
        <f t="shared" si="2"/>
        <v>1</v>
      </c>
      <c r="BP34" s="70" t="s">
        <v>708</v>
      </c>
      <c r="BQ34" s="69" t="s">
        <v>1172</v>
      </c>
      <c r="BR34" s="55">
        <v>21</v>
      </c>
      <c r="BS34" s="57">
        <v>9.8000000000000007</v>
      </c>
      <c r="BT34" s="98">
        <v>205.8</v>
      </c>
      <c r="BU34" s="70" t="s">
        <v>3134</v>
      </c>
      <c r="BV34" s="69" t="s">
        <v>3135</v>
      </c>
      <c r="BW34" s="57">
        <v>0.01</v>
      </c>
      <c r="BX34" s="55"/>
      <c r="BY34" s="55">
        <v>1</v>
      </c>
      <c r="BZ34" s="58">
        <v>0.01</v>
      </c>
      <c r="CA34" s="70"/>
      <c r="CB34" s="69"/>
      <c r="CC34" s="55"/>
      <c r="CD34" s="55"/>
      <c r="CE34" s="55"/>
      <c r="CF34" s="56"/>
      <c r="CG34" s="5">
        <v>126.62</v>
      </c>
      <c r="CH34" s="5">
        <v>41.16</v>
      </c>
      <c r="CI34" s="3"/>
      <c r="CJ34" s="3"/>
      <c r="CK34" s="3"/>
      <c r="CL34" s="3"/>
      <c r="CM34" s="3"/>
      <c r="CN34" s="3"/>
      <c r="CO34" s="3"/>
      <c r="CP34" s="3"/>
    </row>
    <row r="35" spans="1:94">
      <c r="A35" s="3">
        <v>38071</v>
      </c>
      <c r="B35" s="4" t="s">
        <v>1427</v>
      </c>
      <c r="C35" s="4" t="s">
        <v>601</v>
      </c>
      <c r="D35" s="4" t="s">
        <v>306</v>
      </c>
      <c r="E35" s="4" t="s">
        <v>307</v>
      </c>
      <c r="F35" s="4" t="s">
        <v>1379</v>
      </c>
      <c r="G35" s="4" t="s">
        <v>1380</v>
      </c>
      <c r="H35" s="4" t="s">
        <v>1381</v>
      </c>
      <c r="I35" s="4" t="s">
        <v>188</v>
      </c>
      <c r="J35" s="4" t="s">
        <v>1362</v>
      </c>
      <c r="K35" s="3">
        <v>57</v>
      </c>
      <c r="L35" s="4" t="s">
        <v>0</v>
      </c>
      <c r="M35" s="4" t="s">
        <v>118</v>
      </c>
      <c r="N35" s="5">
        <v>2289.7600000000002</v>
      </c>
      <c r="O35" s="6">
        <v>39848</v>
      </c>
      <c r="P35" s="3"/>
      <c r="Q35" s="4" t="s">
        <v>2074</v>
      </c>
      <c r="R35" s="54">
        <v>4</v>
      </c>
      <c r="S35" s="69" t="s">
        <v>3060</v>
      </c>
      <c r="T35" s="55"/>
      <c r="U35" s="57">
        <v>2.85</v>
      </c>
      <c r="V35" s="55">
        <v>20</v>
      </c>
      <c r="W35" s="55">
        <v>40</v>
      </c>
      <c r="X35" s="58">
        <v>114</v>
      </c>
      <c r="Y35" s="54">
        <v>329</v>
      </c>
      <c r="Z35" s="69" t="s">
        <v>3044</v>
      </c>
      <c r="AA35" s="55"/>
      <c r="AB35" s="57">
        <v>3.25</v>
      </c>
      <c r="AC35" s="55">
        <v>20</v>
      </c>
      <c r="AD35" s="55">
        <v>40</v>
      </c>
      <c r="AE35" s="58">
        <v>130</v>
      </c>
      <c r="AF35" s="54"/>
      <c r="AG35" s="69"/>
      <c r="AH35" s="55"/>
      <c r="AI35" s="55"/>
      <c r="AJ35" s="55"/>
      <c r="AK35" s="55"/>
      <c r="AL35" s="56"/>
      <c r="AM35" s="54"/>
      <c r="AN35" s="69"/>
      <c r="AO35" s="55"/>
      <c r="AP35" s="55"/>
      <c r="AQ35" s="55"/>
      <c r="AR35" s="55"/>
      <c r="AS35" s="56"/>
      <c r="AT35" s="54"/>
      <c r="AU35" s="69"/>
      <c r="AV35" s="55"/>
      <c r="AW35" s="55"/>
      <c r="AX35" s="55"/>
      <c r="AY35" s="55"/>
      <c r="AZ35" s="56"/>
      <c r="BA35" s="65">
        <f t="shared" si="0"/>
        <v>244</v>
      </c>
      <c r="BB35" s="73">
        <f>VLOOKUP($C35,'REL. VT'!$C:Y,23,0)</f>
        <v>20</v>
      </c>
      <c r="BC35" s="74">
        <f>VLOOKUP($C35,'REL. VT'!$C:Z,24,0)</f>
        <v>2</v>
      </c>
      <c r="BD35" s="65">
        <f>VLOOKUP($C35,'REL. VT'!$C:AA,25,0)</f>
        <v>2.85</v>
      </c>
      <c r="BE35" s="97">
        <f>BB35*BC35*BD35</f>
        <v>114</v>
      </c>
      <c r="BF35" s="73">
        <f>VLOOKUP($C35,'REL. VT'!$C:AF,30,0)</f>
        <v>20</v>
      </c>
      <c r="BG35" s="74">
        <f>VLOOKUP($C35,'REL. VT'!$C:AG,31,0)</f>
        <v>2</v>
      </c>
      <c r="BH35" s="65">
        <f>VLOOKUP($C35,'REL. VT'!$C:AH,32,0)</f>
        <v>3.25</v>
      </c>
      <c r="BI35" s="97">
        <f>BF35*BG35*BH35</f>
        <v>130</v>
      </c>
      <c r="BJ35" s="73"/>
      <c r="BK35" s="74"/>
      <c r="BL35" s="65"/>
      <c r="BM35" s="94"/>
      <c r="BN35" s="65">
        <f t="shared" si="1"/>
        <v>244</v>
      </c>
      <c r="BO35" s="65" t="b">
        <f t="shared" si="2"/>
        <v>1</v>
      </c>
      <c r="BP35" s="70" t="s">
        <v>708</v>
      </c>
      <c r="BQ35" s="69" t="s">
        <v>1172</v>
      </c>
      <c r="BR35" s="55">
        <v>20</v>
      </c>
      <c r="BS35" s="57">
        <v>9.8000000000000007</v>
      </c>
      <c r="BT35" s="98">
        <v>196</v>
      </c>
      <c r="BU35" s="70" t="s">
        <v>3134</v>
      </c>
      <c r="BV35" s="69" t="s">
        <v>3135</v>
      </c>
      <c r="BW35" s="57">
        <v>0.01</v>
      </c>
      <c r="BX35" s="55"/>
      <c r="BY35" s="55">
        <v>1</v>
      </c>
      <c r="BZ35" s="58">
        <v>0.01</v>
      </c>
      <c r="CA35" s="70"/>
      <c r="CB35" s="69"/>
      <c r="CC35" s="55"/>
      <c r="CD35" s="55"/>
      <c r="CE35" s="55"/>
      <c r="CF35" s="56"/>
      <c r="CG35" s="5">
        <v>123.65</v>
      </c>
      <c r="CH35" s="5">
        <v>39.200000000000003</v>
      </c>
      <c r="CI35" s="3"/>
      <c r="CJ35" s="3"/>
      <c r="CK35" s="3"/>
      <c r="CL35" s="3"/>
      <c r="CM35" s="3"/>
      <c r="CN35" s="3"/>
      <c r="CO35" s="3"/>
      <c r="CP35" s="3"/>
    </row>
    <row r="36" spans="1:94">
      <c r="A36" s="3">
        <v>56180</v>
      </c>
      <c r="B36" s="4" t="s">
        <v>1347</v>
      </c>
      <c r="C36" s="4" t="s">
        <v>98</v>
      </c>
      <c r="D36" s="4" t="s">
        <v>602</v>
      </c>
      <c r="E36" s="4" t="s">
        <v>603</v>
      </c>
      <c r="F36" s="4" t="s">
        <v>1391</v>
      </c>
      <c r="G36" s="4" t="s">
        <v>1392</v>
      </c>
      <c r="H36" s="4" t="s">
        <v>1393</v>
      </c>
      <c r="I36" s="4" t="s">
        <v>188</v>
      </c>
      <c r="J36" s="4" t="s">
        <v>1362</v>
      </c>
      <c r="K36" s="3">
        <v>57</v>
      </c>
      <c r="L36" s="4" t="s">
        <v>0</v>
      </c>
      <c r="M36" s="4" t="s">
        <v>445</v>
      </c>
      <c r="N36" s="5">
        <v>2289.7600000000002</v>
      </c>
      <c r="O36" s="6">
        <v>40852</v>
      </c>
      <c r="P36" s="3"/>
      <c r="Q36" s="4" t="s">
        <v>2074</v>
      </c>
      <c r="R36" s="54"/>
      <c r="S36" s="69"/>
      <c r="T36" s="55"/>
      <c r="U36" s="55"/>
      <c r="V36" s="55"/>
      <c r="W36" s="55"/>
      <c r="X36" s="56"/>
      <c r="Y36" s="54"/>
      <c r="Z36" s="69"/>
      <c r="AA36" s="55"/>
      <c r="AB36" s="55"/>
      <c r="AC36" s="55"/>
      <c r="AD36" s="55"/>
      <c r="AE36" s="56"/>
      <c r="AF36" s="54"/>
      <c r="AG36" s="69"/>
      <c r="AH36" s="55"/>
      <c r="AI36" s="55"/>
      <c r="AJ36" s="55"/>
      <c r="AK36" s="55"/>
      <c r="AL36" s="56"/>
      <c r="AM36" s="54"/>
      <c r="AN36" s="69"/>
      <c r="AO36" s="55"/>
      <c r="AP36" s="55"/>
      <c r="AQ36" s="55"/>
      <c r="AR36" s="55"/>
      <c r="AS36" s="56"/>
      <c r="AT36" s="54"/>
      <c r="AU36" s="69"/>
      <c r="AV36" s="55"/>
      <c r="AW36" s="55"/>
      <c r="AX36" s="55"/>
      <c r="AY36" s="55"/>
      <c r="AZ36" s="56"/>
      <c r="BA36" s="65">
        <f t="shared" si="0"/>
        <v>0</v>
      </c>
      <c r="BB36" s="73"/>
      <c r="BC36" s="74"/>
      <c r="BD36" s="65"/>
      <c r="BE36" s="94"/>
      <c r="BF36" s="73"/>
      <c r="BG36" s="74"/>
      <c r="BH36" s="65"/>
      <c r="BI36" s="94"/>
      <c r="BJ36" s="73"/>
      <c r="BK36" s="74"/>
      <c r="BL36" s="65"/>
      <c r="BM36" s="94"/>
      <c r="BN36" s="65">
        <f t="shared" si="1"/>
        <v>0</v>
      </c>
      <c r="BO36" s="65" t="b">
        <f t="shared" si="2"/>
        <v>1</v>
      </c>
      <c r="BP36" s="70" t="s">
        <v>708</v>
      </c>
      <c r="BQ36" s="69" t="s">
        <v>1172</v>
      </c>
      <c r="BR36" s="55">
        <v>1</v>
      </c>
      <c r="BS36" s="57">
        <v>9.8000000000000007</v>
      </c>
      <c r="BT36" s="98">
        <v>9.8000000000000007</v>
      </c>
      <c r="BU36" s="70" t="s">
        <v>3134</v>
      </c>
      <c r="BV36" s="69" t="s">
        <v>3135</v>
      </c>
      <c r="BW36" s="57">
        <v>0.01</v>
      </c>
      <c r="BX36" s="55"/>
      <c r="BY36" s="55">
        <v>1</v>
      </c>
      <c r="BZ36" s="58">
        <v>0.01</v>
      </c>
      <c r="CA36" s="70"/>
      <c r="CB36" s="69"/>
      <c r="CC36" s="55"/>
      <c r="CD36" s="55"/>
      <c r="CE36" s="55"/>
      <c r="CF36" s="56"/>
      <c r="CG36" s="3"/>
      <c r="CH36" s="5">
        <v>1.96</v>
      </c>
      <c r="CI36" s="3"/>
      <c r="CJ36" s="3"/>
      <c r="CK36" s="3"/>
      <c r="CL36" s="3"/>
      <c r="CM36" s="3"/>
      <c r="CN36" s="3"/>
      <c r="CO36" s="3"/>
      <c r="CP36" s="3"/>
    </row>
    <row r="37" spans="1:94">
      <c r="A37" s="3">
        <v>56047</v>
      </c>
      <c r="B37" s="4" t="s">
        <v>1428</v>
      </c>
      <c r="C37" s="4" t="s">
        <v>14</v>
      </c>
      <c r="D37" s="4" t="s">
        <v>306</v>
      </c>
      <c r="E37" s="4" t="s">
        <v>307</v>
      </c>
      <c r="F37" s="4" t="s">
        <v>1379</v>
      </c>
      <c r="G37" s="4" t="s">
        <v>1380</v>
      </c>
      <c r="H37" s="4" t="s">
        <v>1381</v>
      </c>
      <c r="I37" s="4" t="s">
        <v>188</v>
      </c>
      <c r="J37" s="4" t="s">
        <v>1362</v>
      </c>
      <c r="K37" s="3">
        <v>57</v>
      </c>
      <c r="L37" s="4" t="s">
        <v>0</v>
      </c>
      <c r="M37" s="4" t="s">
        <v>118</v>
      </c>
      <c r="N37" s="5">
        <v>2289.7600000000002</v>
      </c>
      <c r="O37" s="6">
        <v>40852</v>
      </c>
      <c r="P37" s="3"/>
      <c r="Q37" s="4" t="s">
        <v>2072</v>
      </c>
      <c r="R37" s="54"/>
      <c r="S37" s="69"/>
      <c r="T37" s="55"/>
      <c r="U37" s="55"/>
      <c r="V37" s="55"/>
      <c r="W37" s="55"/>
      <c r="X37" s="56"/>
      <c r="Y37" s="54"/>
      <c r="Z37" s="69"/>
      <c r="AA37" s="55"/>
      <c r="AB37" s="55"/>
      <c r="AC37" s="55"/>
      <c r="AD37" s="55"/>
      <c r="AE37" s="56"/>
      <c r="AF37" s="54"/>
      <c r="AG37" s="69"/>
      <c r="AH37" s="55"/>
      <c r="AI37" s="55"/>
      <c r="AJ37" s="55"/>
      <c r="AK37" s="55"/>
      <c r="AL37" s="56"/>
      <c r="AM37" s="54"/>
      <c r="AN37" s="69"/>
      <c r="AO37" s="55"/>
      <c r="AP37" s="55"/>
      <c r="AQ37" s="55"/>
      <c r="AR37" s="55"/>
      <c r="AS37" s="56"/>
      <c r="AT37" s="54"/>
      <c r="AU37" s="69"/>
      <c r="AV37" s="55"/>
      <c r="AW37" s="55"/>
      <c r="AX37" s="55"/>
      <c r="AY37" s="55"/>
      <c r="AZ37" s="56"/>
      <c r="BA37" s="65">
        <f t="shared" si="0"/>
        <v>0</v>
      </c>
      <c r="BB37" s="73"/>
      <c r="BC37" s="74"/>
      <c r="BD37" s="65"/>
      <c r="BE37" s="94"/>
      <c r="BF37" s="73"/>
      <c r="BG37" s="74"/>
      <c r="BH37" s="65"/>
      <c r="BI37" s="94"/>
      <c r="BJ37" s="73"/>
      <c r="BK37" s="74"/>
      <c r="BL37" s="65"/>
      <c r="BM37" s="94"/>
      <c r="BN37" s="65">
        <f t="shared" si="1"/>
        <v>0</v>
      </c>
      <c r="BO37" s="65" t="b">
        <f t="shared" si="2"/>
        <v>1</v>
      </c>
      <c r="BP37" s="70" t="s">
        <v>708</v>
      </c>
      <c r="BQ37" s="69" t="s">
        <v>1172</v>
      </c>
      <c r="BR37" s="55">
        <v>20</v>
      </c>
      <c r="BS37" s="57">
        <v>9.8000000000000007</v>
      </c>
      <c r="BT37" s="98">
        <v>196</v>
      </c>
      <c r="BU37" s="70" t="s">
        <v>3134</v>
      </c>
      <c r="BV37" s="69" t="s">
        <v>3135</v>
      </c>
      <c r="BW37" s="57">
        <v>0.01</v>
      </c>
      <c r="BX37" s="55"/>
      <c r="BY37" s="55">
        <v>1</v>
      </c>
      <c r="BZ37" s="58">
        <v>0.01</v>
      </c>
      <c r="CA37" s="70"/>
      <c r="CB37" s="69"/>
      <c r="CC37" s="55"/>
      <c r="CD37" s="55"/>
      <c r="CE37" s="55"/>
      <c r="CF37" s="56"/>
      <c r="CG37" s="3"/>
      <c r="CH37" s="5">
        <v>39.200000000000003</v>
      </c>
      <c r="CI37" s="3"/>
      <c r="CJ37" s="3"/>
      <c r="CK37" s="3"/>
      <c r="CL37" s="3"/>
      <c r="CM37" s="3"/>
      <c r="CN37" s="3"/>
      <c r="CO37" s="3"/>
      <c r="CP37" s="3"/>
    </row>
    <row r="38" spans="1:94">
      <c r="A38" s="3">
        <v>56134</v>
      </c>
      <c r="B38" s="4" t="s">
        <v>1429</v>
      </c>
      <c r="C38" s="4" t="s">
        <v>60</v>
      </c>
      <c r="D38" s="4" t="s">
        <v>456</v>
      </c>
      <c r="E38" s="4" t="s">
        <v>457</v>
      </c>
      <c r="F38" s="4" t="s">
        <v>1403</v>
      </c>
      <c r="G38" s="4" t="s">
        <v>1404</v>
      </c>
      <c r="H38" s="4" t="s">
        <v>1405</v>
      </c>
      <c r="I38" s="4" t="s">
        <v>188</v>
      </c>
      <c r="J38" s="4" t="s">
        <v>1362</v>
      </c>
      <c r="K38" s="3">
        <v>57</v>
      </c>
      <c r="L38" s="4" t="s">
        <v>0</v>
      </c>
      <c r="M38" s="4" t="s">
        <v>329</v>
      </c>
      <c r="N38" s="5">
        <v>2110.38</v>
      </c>
      <c r="O38" s="6">
        <v>40852</v>
      </c>
      <c r="P38" s="3"/>
      <c r="Q38" s="4" t="s">
        <v>2072</v>
      </c>
      <c r="R38" s="54"/>
      <c r="S38" s="69"/>
      <c r="T38" s="55"/>
      <c r="U38" s="55"/>
      <c r="V38" s="55"/>
      <c r="W38" s="55"/>
      <c r="X38" s="56"/>
      <c r="Y38" s="54"/>
      <c r="Z38" s="69"/>
      <c r="AA38" s="55"/>
      <c r="AB38" s="55"/>
      <c r="AC38" s="55"/>
      <c r="AD38" s="55"/>
      <c r="AE38" s="56"/>
      <c r="AF38" s="54"/>
      <c r="AG38" s="69"/>
      <c r="AH38" s="55"/>
      <c r="AI38" s="55"/>
      <c r="AJ38" s="55"/>
      <c r="AK38" s="55"/>
      <c r="AL38" s="56"/>
      <c r="AM38" s="54"/>
      <c r="AN38" s="69"/>
      <c r="AO38" s="55"/>
      <c r="AP38" s="55"/>
      <c r="AQ38" s="55"/>
      <c r="AR38" s="55"/>
      <c r="AS38" s="56"/>
      <c r="AT38" s="54"/>
      <c r="AU38" s="69"/>
      <c r="AV38" s="55"/>
      <c r="AW38" s="55"/>
      <c r="AX38" s="55"/>
      <c r="AY38" s="55"/>
      <c r="AZ38" s="56"/>
      <c r="BA38" s="65">
        <f t="shared" si="0"/>
        <v>0</v>
      </c>
      <c r="BB38" s="73"/>
      <c r="BC38" s="74"/>
      <c r="BD38" s="65"/>
      <c r="BE38" s="94"/>
      <c r="BF38" s="73"/>
      <c r="BG38" s="74"/>
      <c r="BH38" s="65"/>
      <c r="BI38" s="94"/>
      <c r="BJ38" s="73"/>
      <c r="BK38" s="74"/>
      <c r="BL38" s="65"/>
      <c r="BM38" s="94"/>
      <c r="BN38" s="65">
        <f t="shared" si="1"/>
        <v>0</v>
      </c>
      <c r="BO38" s="65" t="b">
        <f t="shared" si="2"/>
        <v>1</v>
      </c>
      <c r="BP38" s="70" t="s">
        <v>708</v>
      </c>
      <c r="BQ38" s="69" t="s">
        <v>1172</v>
      </c>
      <c r="BR38" s="55">
        <v>21</v>
      </c>
      <c r="BS38" s="57">
        <v>9.8000000000000007</v>
      </c>
      <c r="BT38" s="98">
        <v>205.8</v>
      </c>
      <c r="BU38" s="70" t="s">
        <v>3134</v>
      </c>
      <c r="BV38" s="69" t="s">
        <v>3135</v>
      </c>
      <c r="BW38" s="57">
        <v>0.01</v>
      </c>
      <c r="BX38" s="55"/>
      <c r="BY38" s="55">
        <v>1</v>
      </c>
      <c r="BZ38" s="58">
        <v>0.01</v>
      </c>
      <c r="CA38" s="70"/>
      <c r="CB38" s="69"/>
      <c r="CC38" s="55"/>
      <c r="CD38" s="55"/>
      <c r="CE38" s="55"/>
      <c r="CF38" s="56"/>
      <c r="CG38" s="3"/>
      <c r="CH38" s="5">
        <v>41.16</v>
      </c>
      <c r="CI38" s="3"/>
      <c r="CJ38" s="3"/>
      <c r="CK38" s="3"/>
      <c r="CL38" s="3"/>
      <c r="CM38" s="3"/>
      <c r="CN38" s="3"/>
      <c r="CO38" s="3"/>
      <c r="CP38" s="3"/>
    </row>
    <row r="39" spans="1:94">
      <c r="A39" s="3">
        <v>56096</v>
      </c>
      <c r="B39" s="4" t="s">
        <v>1430</v>
      </c>
      <c r="C39" s="4" t="s">
        <v>57</v>
      </c>
      <c r="D39" s="4" t="s">
        <v>573</v>
      </c>
      <c r="E39" s="4" t="s">
        <v>574</v>
      </c>
      <c r="F39" s="4" t="s">
        <v>1423</v>
      </c>
      <c r="G39" s="4" t="s">
        <v>1424</v>
      </c>
      <c r="H39" s="4" t="s">
        <v>1425</v>
      </c>
      <c r="I39" s="4" t="s">
        <v>188</v>
      </c>
      <c r="J39" s="4" t="s">
        <v>1362</v>
      </c>
      <c r="K39" s="3">
        <v>57</v>
      </c>
      <c r="L39" s="4" t="s">
        <v>0</v>
      </c>
      <c r="M39" s="4" t="s">
        <v>1220</v>
      </c>
      <c r="N39" s="5">
        <v>2110.38</v>
      </c>
      <c r="O39" s="6">
        <v>40852</v>
      </c>
      <c r="P39" s="3"/>
      <c r="Q39" s="4" t="s">
        <v>2072</v>
      </c>
      <c r="R39" s="54"/>
      <c r="S39" s="69"/>
      <c r="T39" s="55"/>
      <c r="U39" s="55"/>
      <c r="V39" s="55"/>
      <c r="W39" s="55"/>
      <c r="X39" s="56"/>
      <c r="Y39" s="54"/>
      <c r="Z39" s="69"/>
      <c r="AA39" s="55"/>
      <c r="AB39" s="55"/>
      <c r="AC39" s="55"/>
      <c r="AD39" s="55"/>
      <c r="AE39" s="56"/>
      <c r="AF39" s="54"/>
      <c r="AG39" s="69"/>
      <c r="AH39" s="55"/>
      <c r="AI39" s="55"/>
      <c r="AJ39" s="55"/>
      <c r="AK39" s="55"/>
      <c r="AL39" s="56"/>
      <c r="AM39" s="54"/>
      <c r="AN39" s="69"/>
      <c r="AO39" s="55"/>
      <c r="AP39" s="55"/>
      <c r="AQ39" s="55"/>
      <c r="AR39" s="55"/>
      <c r="AS39" s="56"/>
      <c r="AT39" s="54"/>
      <c r="AU39" s="69"/>
      <c r="AV39" s="55"/>
      <c r="AW39" s="55"/>
      <c r="AX39" s="55"/>
      <c r="AY39" s="55"/>
      <c r="AZ39" s="56"/>
      <c r="BA39" s="65">
        <f t="shared" si="0"/>
        <v>0</v>
      </c>
      <c r="BB39" s="73"/>
      <c r="BC39" s="74"/>
      <c r="BD39" s="65"/>
      <c r="BE39" s="94"/>
      <c r="BF39" s="73"/>
      <c r="BG39" s="74"/>
      <c r="BH39" s="65"/>
      <c r="BI39" s="94"/>
      <c r="BJ39" s="73"/>
      <c r="BK39" s="74"/>
      <c r="BL39" s="65"/>
      <c r="BM39" s="94"/>
      <c r="BN39" s="65">
        <f t="shared" si="1"/>
        <v>0</v>
      </c>
      <c r="BO39" s="65" t="b">
        <f t="shared" si="2"/>
        <v>1</v>
      </c>
      <c r="BP39" s="70" t="s">
        <v>708</v>
      </c>
      <c r="BQ39" s="69" t="s">
        <v>1172</v>
      </c>
      <c r="BR39" s="55">
        <v>21</v>
      </c>
      <c r="BS39" s="57">
        <v>9.8000000000000007</v>
      </c>
      <c r="BT39" s="98">
        <v>205.8</v>
      </c>
      <c r="BU39" s="70" t="s">
        <v>3134</v>
      </c>
      <c r="BV39" s="69" t="s">
        <v>3135</v>
      </c>
      <c r="BW39" s="57">
        <v>0.01</v>
      </c>
      <c r="BX39" s="55"/>
      <c r="BY39" s="55">
        <v>1</v>
      </c>
      <c r="BZ39" s="58">
        <v>0.01</v>
      </c>
      <c r="CA39" s="70"/>
      <c r="CB39" s="69"/>
      <c r="CC39" s="55"/>
      <c r="CD39" s="55"/>
      <c r="CE39" s="55"/>
      <c r="CF39" s="56"/>
      <c r="CG39" s="3"/>
      <c r="CH39" s="5">
        <v>41.16</v>
      </c>
      <c r="CI39" s="3"/>
      <c r="CJ39" s="3"/>
      <c r="CK39" s="3"/>
      <c r="CL39" s="3"/>
      <c r="CM39" s="3"/>
      <c r="CN39" s="3"/>
      <c r="CO39" s="3"/>
      <c r="CP39" s="3"/>
    </row>
    <row r="40" spans="1:94">
      <c r="A40" s="3">
        <v>19757</v>
      </c>
      <c r="B40" s="4" t="s">
        <v>517</v>
      </c>
      <c r="C40" s="4" t="s">
        <v>15</v>
      </c>
      <c r="D40" s="4" t="s">
        <v>306</v>
      </c>
      <c r="E40" s="4" t="s">
        <v>307</v>
      </c>
      <c r="F40" s="4" t="s">
        <v>1379</v>
      </c>
      <c r="G40" s="4" t="s">
        <v>1380</v>
      </c>
      <c r="H40" s="4" t="s">
        <v>1381</v>
      </c>
      <c r="I40" s="4" t="s">
        <v>188</v>
      </c>
      <c r="J40" s="4" t="s">
        <v>1362</v>
      </c>
      <c r="K40" s="3">
        <v>57</v>
      </c>
      <c r="L40" s="4" t="s">
        <v>0</v>
      </c>
      <c r="M40" s="4" t="s">
        <v>118</v>
      </c>
      <c r="N40" s="5">
        <v>2289.7600000000002</v>
      </c>
      <c r="O40" s="6">
        <v>38481</v>
      </c>
      <c r="P40" s="3"/>
      <c r="Q40" s="4" t="s">
        <v>2072</v>
      </c>
      <c r="R40" s="54">
        <v>2</v>
      </c>
      <c r="S40" s="69" t="s">
        <v>3062</v>
      </c>
      <c r="T40" s="55"/>
      <c r="U40" s="57">
        <v>2.0499999999999998</v>
      </c>
      <c r="V40" s="55">
        <v>18</v>
      </c>
      <c r="W40" s="55">
        <v>18</v>
      </c>
      <c r="X40" s="58">
        <v>36.9</v>
      </c>
      <c r="Y40" s="54">
        <v>4</v>
      </c>
      <c r="Z40" s="69" t="s">
        <v>3060</v>
      </c>
      <c r="AA40" s="55"/>
      <c r="AB40" s="57">
        <v>2.85</v>
      </c>
      <c r="AC40" s="55">
        <v>18</v>
      </c>
      <c r="AD40" s="55">
        <v>18</v>
      </c>
      <c r="AE40" s="58">
        <v>51.3</v>
      </c>
      <c r="AF40" s="54">
        <v>707</v>
      </c>
      <c r="AG40" s="69" t="s">
        <v>3102</v>
      </c>
      <c r="AH40" s="55"/>
      <c r="AI40" s="57">
        <v>1.03</v>
      </c>
      <c r="AJ40" s="55">
        <v>18</v>
      </c>
      <c r="AK40" s="55">
        <v>18</v>
      </c>
      <c r="AL40" s="58">
        <v>18.54</v>
      </c>
      <c r="AM40" s="54">
        <v>708</v>
      </c>
      <c r="AN40" s="69" t="s">
        <v>3103</v>
      </c>
      <c r="AO40" s="55"/>
      <c r="AP40" s="57">
        <v>1.83</v>
      </c>
      <c r="AQ40" s="55">
        <v>18</v>
      </c>
      <c r="AR40" s="55">
        <v>18</v>
      </c>
      <c r="AS40" s="58">
        <v>32.94</v>
      </c>
      <c r="AT40" s="54"/>
      <c r="AU40" s="69"/>
      <c r="AV40" s="55"/>
      <c r="AW40" s="55"/>
      <c r="AX40" s="55"/>
      <c r="AY40" s="55"/>
      <c r="AZ40" s="56"/>
      <c r="BA40" s="65">
        <f t="shared" si="0"/>
        <v>139.67999999999998</v>
      </c>
      <c r="BB40" s="73">
        <f>VLOOKUP($C40,'REL. VT'!$C:Y,23,0)</f>
        <v>18</v>
      </c>
      <c r="BC40" s="74">
        <f>VLOOKUP($C40,'REL. VT'!$C:Z,24,0)</f>
        <v>1</v>
      </c>
      <c r="BD40" s="65">
        <f>VLOOKUP($C40,'REL. VT'!$C:AA,25,0)</f>
        <v>7.76</v>
      </c>
      <c r="BE40" s="97">
        <f>BB40*BC40*BD40</f>
        <v>139.68</v>
      </c>
      <c r="BF40" s="73"/>
      <c r="BG40" s="74"/>
      <c r="BH40" s="65"/>
      <c r="BI40" s="94"/>
      <c r="BJ40" s="73"/>
      <c r="BK40" s="74"/>
      <c r="BL40" s="65"/>
      <c r="BM40" s="94"/>
      <c r="BN40" s="65">
        <f t="shared" si="1"/>
        <v>139.68</v>
      </c>
      <c r="BO40" s="65" t="b">
        <f t="shared" si="2"/>
        <v>1</v>
      </c>
      <c r="BP40" s="70" t="s">
        <v>708</v>
      </c>
      <c r="BQ40" s="69" t="s">
        <v>1172</v>
      </c>
      <c r="BR40" s="55">
        <v>20</v>
      </c>
      <c r="BS40" s="57">
        <v>9.8000000000000007</v>
      </c>
      <c r="BT40" s="98">
        <v>196</v>
      </c>
      <c r="BU40" s="70" t="s">
        <v>3134</v>
      </c>
      <c r="BV40" s="69" t="s">
        <v>3135</v>
      </c>
      <c r="BW40" s="57">
        <v>0.01</v>
      </c>
      <c r="BX40" s="55"/>
      <c r="BY40" s="55">
        <v>1</v>
      </c>
      <c r="BZ40" s="58">
        <v>0.01</v>
      </c>
      <c r="CA40" s="70"/>
      <c r="CB40" s="69"/>
      <c r="CC40" s="55"/>
      <c r="CD40" s="55"/>
      <c r="CE40" s="55"/>
      <c r="CF40" s="56"/>
      <c r="CG40" s="5">
        <v>137.38999999999999</v>
      </c>
      <c r="CH40" s="5">
        <v>39.200000000000003</v>
      </c>
      <c r="CI40" s="3"/>
      <c r="CJ40" s="3"/>
      <c r="CK40" s="3"/>
      <c r="CL40" s="3"/>
      <c r="CM40" s="3"/>
      <c r="CN40" s="3"/>
      <c r="CO40" s="3"/>
      <c r="CP40" s="3"/>
    </row>
    <row r="41" spans="1:94">
      <c r="A41" s="3">
        <v>56137</v>
      </c>
      <c r="B41" s="4" t="s">
        <v>1431</v>
      </c>
      <c r="C41" s="4" t="s">
        <v>91</v>
      </c>
      <c r="D41" s="4" t="s">
        <v>216</v>
      </c>
      <c r="E41" s="4" t="s">
        <v>217</v>
      </c>
      <c r="F41" s="4" t="s">
        <v>1364</v>
      </c>
      <c r="G41" s="4" t="s">
        <v>1365</v>
      </c>
      <c r="H41" s="4" t="s">
        <v>1366</v>
      </c>
      <c r="I41" s="4" t="s">
        <v>188</v>
      </c>
      <c r="J41" s="4" t="s">
        <v>1362</v>
      </c>
      <c r="K41" s="3">
        <v>57</v>
      </c>
      <c r="L41" s="4" t="s">
        <v>0</v>
      </c>
      <c r="M41" s="4" t="s">
        <v>123</v>
      </c>
      <c r="N41" s="5">
        <v>2110.38</v>
      </c>
      <c r="O41" s="6">
        <v>40852</v>
      </c>
      <c r="P41" s="3"/>
      <c r="Q41" s="4" t="s">
        <v>2072</v>
      </c>
      <c r="R41" s="54"/>
      <c r="S41" s="69"/>
      <c r="T41" s="55"/>
      <c r="U41" s="55"/>
      <c r="V41" s="55"/>
      <c r="W41" s="55"/>
      <c r="X41" s="56"/>
      <c r="Y41" s="54"/>
      <c r="Z41" s="69"/>
      <c r="AA41" s="55"/>
      <c r="AB41" s="55"/>
      <c r="AC41" s="55"/>
      <c r="AD41" s="55"/>
      <c r="AE41" s="56"/>
      <c r="AF41" s="54"/>
      <c r="AG41" s="69"/>
      <c r="AH41" s="55"/>
      <c r="AI41" s="55"/>
      <c r="AJ41" s="55"/>
      <c r="AK41" s="55"/>
      <c r="AL41" s="56"/>
      <c r="AM41" s="54"/>
      <c r="AN41" s="69"/>
      <c r="AO41" s="55"/>
      <c r="AP41" s="55"/>
      <c r="AQ41" s="55"/>
      <c r="AR41" s="55"/>
      <c r="AS41" s="56"/>
      <c r="AT41" s="54"/>
      <c r="AU41" s="69"/>
      <c r="AV41" s="55"/>
      <c r="AW41" s="55"/>
      <c r="AX41" s="55"/>
      <c r="AY41" s="55"/>
      <c r="AZ41" s="56"/>
      <c r="BA41" s="65">
        <f t="shared" si="0"/>
        <v>0</v>
      </c>
      <c r="BB41" s="73"/>
      <c r="BC41" s="74"/>
      <c r="BD41" s="65"/>
      <c r="BE41" s="94"/>
      <c r="BF41" s="73"/>
      <c r="BG41" s="74"/>
      <c r="BH41" s="65"/>
      <c r="BI41" s="94"/>
      <c r="BJ41" s="73"/>
      <c r="BK41" s="74"/>
      <c r="BL41" s="65"/>
      <c r="BM41" s="94"/>
      <c r="BN41" s="65">
        <f t="shared" si="1"/>
        <v>0</v>
      </c>
      <c r="BO41" s="65" t="b">
        <f t="shared" si="2"/>
        <v>1</v>
      </c>
      <c r="BP41" s="70" t="s">
        <v>708</v>
      </c>
      <c r="BQ41" s="69" t="s">
        <v>1172</v>
      </c>
      <c r="BR41" s="55">
        <v>20</v>
      </c>
      <c r="BS41" s="57">
        <v>9.8000000000000007</v>
      </c>
      <c r="BT41" s="98">
        <v>196</v>
      </c>
      <c r="BU41" s="70" t="s">
        <v>3134</v>
      </c>
      <c r="BV41" s="69" t="s">
        <v>3135</v>
      </c>
      <c r="BW41" s="57">
        <v>0.01</v>
      </c>
      <c r="BX41" s="55"/>
      <c r="BY41" s="55">
        <v>1</v>
      </c>
      <c r="BZ41" s="58">
        <v>0.01</v>
      </c>
      <c r="CA41" s="70"/>
      <c r="CB41" s="69"/>
      <c r="CC41" s="55"/>
      <c r="CD41" s="55"/>
      <c r="CE41" s="55"/>
      <c r="CF41" s="56"/>
      <c r="CG41" s="3"/>
      <c r="CH41" s="5">
        <v>39.200000000000003</v>
      </c>
      <c r="CI41" s="3"/>
      <c r="CJ41" s="3"/>
      <c r="CK41" s="3"/>
      <c r="CL41" s="3"/>
      <c r="CM41" s="3"/>
      <c r="CN41" s="3"/>
      <c r="CO41" s="3"/>
      <c r="CP41" s="3"/>
    </row>
    <row r="42" spans="1:94">
      <c r="A42" s="3">
        <v>65773</v>
      </c>
      <c r="B42" s="4" t="s">
        <v>1432</v>
      </c>
      <c r="C42" s="4" t="s">
        <v>1286</v>
      </c>
      <c r="D42" s="4" t="s">
        <v>349</v>
      </c>
      <c r="E42" s="4" t="s">
        <v>350</v>
      </c>
      <c r="F42" s="4" t="s">
        <v>1433</v>
      </c>
      <c r="G42" s="4" t="s">
        <v>1434</v>
      </c>
      <c r="H42" s="4" t="s">
        <v>1435</v>
      </c>
      <c r="I42" s="4" t="s">
        <v>188</v>
      </c>
      <c r="J42" s="4" t="s">
        <v>1362</v>
      </c>
      <c r="K42" s="3">
        <v>57</v>
      </c>
      <c r="L42" s="4" t="s">
        <v>0</v>
      </c>
      <c r="M42" s="4" t="s">
        <v>1220</v>
      </c>
      <c r="N42" s="5">
        <v>2110.38</v>
      </c>
      <c r="O42" s="6">
        <v>41365</v>
      </c>
      <c r="P42" s="3"/>
      <c r="Q42" s="4" t="s">
        <v>2072</v>
      </c>
      <c r="R42" s="54"/>
      <c r="S42" s="69"/>
      <c r="T42" s="55"/>
      <c r="U42" s="55"/>
      <c r="V42" s="55"/>
      <c r="W42" s="55"/>
      <c r="X42" s="56"/>
      <c r="Y42" s="54"/>
      <c r="Z42" s="69"/>
      <c r="AA42" s="55"/>
      <c r="AB42" s="55"/>
      <c r="AC42" s="55"/>
      <c r="AD42" s="55"/>
      <c r="AE42" s="56"/>
      <c r="AF42" s="54"/>
      <c r="AG42" s="69"/>
      <c r="AH42" s="55"/>
      <c r="AI42" s="55"/>
      <c r="AJ42" s="55"/>
      <c r="AK42" s="55"/>
      <c r="AL42" s="56"/>
      <c r="AM42" s="54"/>
      <c r="AN42" s="69"/>
      <c r="AO42" s="55"/>
      <c r="AP42" s="55"/>
      <c r="AQ42" s="55"/>
      <c r="AR42" s="55"/>
      <c r="AS42" s="56"/>
      <c r="AT42" s="54"/>
      <c r="AU42" s="69"/>
      <c r="AV42" s="55"/>
      <c r="AW42" s="55"/>
      <c r="AX42" s="55"/>
      <c r="AY42" s="55"/>
      <c r="AZ42" s="56"/>
      <c r="BA42" s="65">
        <f t="shared" si="0"/>
        <v>0</v>
      </c>
      <c r="BB42" s="73"/>
      <c r="BC42" s="74"/>
      <c r="BD42" s="65"/>
      <c r="BE42" s="94"/>
      <c r="BF42" s="73"/>
      <c r="BG42" s="74"/>
      <c r="BH42" s="65"/>
      <c r="BI42" s="94"/>
      <c r="BJ42" s="73"/>
      <c r="BK42" s="74"/>
      <c r="BL42" s="65"/>
      <c r="BM42" s="94"/>
      <c r="BN42" s="65">
        <f t="shared" si="1"/>
        <v>0</v>
      </c>
      <c r="BO42" s="65" t="b">
        <f t="shared" si="2"/>
        <v>1</v>
      </c>
      <c r="BP42" s="70" t="s">
        <v>708</v>
      </c>
      <c r="BQ42" s="69" t="s">
        <v>1172</v>
      </c>
      <c r="BR42" s="55">
        <v>21</v>
      </c>
      <c r="BS42" s="57">
        <v>9.8000000000000007</v>
      </c>
      <c r="BT42" s="98">
        <v>205.8</v>
      </c>
      <c r="BU42" s="70" t="s">
        <v>3134</v>
      </c>
      <c r="BV42" s="69" t="s">
        <v>3135</v>
      </c>
      <c r="BW42" s="57">
        <v>0.01</v>
      </c>
      <c r="BX42" s="55"/>
      <c r="BY42" s="55">
        <v>1</v>
      </c>
      <c r="BZ42" s="58">
        <v>0.01</v>
      </c>
      <c r="CA42" s="70"/>
      <c r="CB42" s="69"/>
      <c r="CC42" s="55"/>
      <c r="CD42" s="55"/>
      <c r="CE42" s="55"/>
      <c r="CF42" s="56"/>
      <c r="CG42" s="3"/>
      <c r="CH42" s="5">
        <v>41.16</v>
      </c>
      <c r="CI42" s="3"/>
      <c r="CJ42" s="3"/>
      <c r="CK42" s="3"/>
      <c r="CL42" s="3"/>
      <c r="CM42" s="3"/>
      <c r="CN42" s="3"/>
      <c r="CO42" s="3"/>
      <c r="CP42" s="3"/>
    </row>
    <row r="43" spans="1:94">
      <c r="A43" s="3">
        <v>60346</v>
      </c>
      <c r="B43" s="4" t="s">
        <v>1436</v>
      </c>
      <c r="C43" s="4" t="s">
        <v>647</v>
      </c>
      <c r="D43" s="4" t="s">
        <v>306</v>
      </c>
      <c r="E43" s="4" t="s">
        <v>307</v>
      </c>
      <c r="F43" s="4" t="s">
        <v>1379</v>
      </c>
      <c r="G43" s="4" t="s">
        <v>1380</v>
      </c>
      <c r="H43" s="4" t="s">
        <v>1381</v>
      </c>
      <c r="I43" s="4" t="s">
        <v>188</v>
      </c>
      <c r="J43" s="4" t="s">
        <v>1362</v>
      </c>
      <c r="K43" s="3">
        <v>57</v>
      </c>
      <c r="L43" s="4" t="s">
        <v>0</v>
      </c>
      <c r="M43" s="4" t="s">
        <v>118</v>
      </c>
      <c r="N43" s="5">
        <v>2289.7600000000002</v>
      </c>
      <c r="O43" s="6">
        <v>41110</v>
      </c>
      <c r="P43" s="3"/>
      <c r="Q43" s="4" t="s">
        <v>2074</v>
      </c>
      <c r="R43" s="54"/>
      <c r="S43" s="69"/>
      <c r="T43" s="55"/>
      <c r="U43" s="55"/>
      <c r="V43" s="55"/>
      <c r="W43" s="55"/>
      <c r="X43" s="56"/>
      <c r="Y43" s="54"/>
      <c r="Z43" s="69"/>
      <c r="AA43" s="55"/>
      <c r="AB43" s="55"/>
      <c r="AC43" s="55"/>
      <c r="AD43" s="55"/>
      <c r="AE43" s="56"/>
      <c r="AF43" s="54"/>
      <c r="AG43" s="69"/>
      <c r="AH43" s="55"/>
      <c r="AI43" s="55"/>
      <c r="AJ43" s="55"/>
      <c r="AK43" s="55"/>
      <c r="AL43" s="56"/>
      <c r="AM43" s="54"/>
      <c r="AN43" s="69"/>
      <c r="AO43" s="55"/>
      <c r="AP43" s="55"/>
      <c r="AQ43" s="55"/>
      <c r="AR43" s="55"/>
      <c r="AS43" s="56"/>
      <c r="AT43" s="54"/>
      <c r="AU43" s="69"/>
      <c r="AV43" s="55"/>
      <c r="AW43" s="55"/>
      <c r="AX43" s="55"/>
      <c r="AY43" s="55"/>
      <c r="AZ43" s="56"/>
      <c r="BA43" s="65">
        <f t="shared" si="0"/>
        <v>0</v>
      </c>
      <c r="BB43" s="73"/>
      <c r="BC43" s="74"/>
      <c r="BD43" s="65"/>
      <c r="BE43" s="94"/>
      <c r="BF43" s="73"/>
      <c r="BG43" s="74"/>
      <c r="BH43" s="65"/>
      <c r="BI43" s="94"/>
      <c r="BJ43" s="73"/>
      <c r="BK43" s="74"/>
      <c r="BL43" s="65"/>
      <c r="BM43" s="94"/>
      <c r="BN43" s="65">
        <f t="shared" si="1"/>
        <v>0</v>
      </c>
      <c r="BO43" s="65" t="b">
        <f t="shared" si="2"/>
        <v>1</v>
      </c>
      <c r="BP43" s="70" t="s">
        <v>708</v>
      </c>
      <c r="BQ43" s="69" t="s">
        <v>1172</v>
      </c>
      <c r="BR43" s="55">
        <v>20</v>
      </c>
      <c r="BS43" s="57">
        <v>9.8000000000000007</v>
      </c>
      <c r="BT43" s="98">
        <v>196</v>
      </c>
      <c r="BU43" s="70" t="s">
        <v>3134</v>
      </c>
      <c r="BV43" s="69" t="s">
        <v>3135</v>
      </c>
      <c r="BW43" s="57">
        <v>0.01</v>
      </c>
      <c r="BX43" s="55"/>
      <c r="BY43" s="55">
        <v>1</v>
      </c>
      <c r="BZ43" s="58">
        <v>0.01</v>
      </c>
      <c r="CA43" s="70"/>
      <c r="CB43" s="69"/>
      <c r="CC43" s="55"/>
      <c r="CD43" s="55"/>
      <c r="CE43" s="55"/>
      <c r="CF43" s="56"/>
      <c r="CG43" s="3"/>
      <c r="CH43" s="5">
        <v>39.200000000000003</v>
      </c>
      <c r="CI43" s="3"/>
      <c r="CJ43" s="3"/>
      <c r="CK43" s="3"/>
      <c r="CL43" s="3"/>
      <c r="CM43" s="3"/>
      <c r="CN43" s="3"/>
      <c r="CO43" s="3"/>
      <c r="CP43" s="3"/>
    </row>
    <row r="44" spans="1:94">
      <c r="A44" s="3">
        <v>56176</v>
      </c>
      <c r="B44" s="4" t="s">
        <v>1437</v>
      </c>
      <c r="C44" s="4" t="s">
        <v>69</v>
      </c>
      <c r="D44" s="4" t="s">
        <v>653</v>
      </c>
      <c r="E44" s="4" t="s">
        <v>654</v>
      </c>
      <c r="F44" s="4" t="s">
        <v>1438</v>
      </c>
      <c r="G44" s="4" t="s">
        <v>1439</v>
      </c>
      <c r="H44" s="4" t="s">
        <v>1440</v>
      </c>
      <c r="I44" s="4" t="s">
        <v>188</v>
      </c>
      <c r="J44" s="4" t="s">
        <v>1362</v>
      </c>
      <c r="K44" s="3">
        <v>57</v>
      </c>
      <c r="L44" s="4" t="s">
        <v>0</v>
      </c>
      <c r="M44" s="4" t="s">
        <v>1441</v>
      </c>
      <c r="N44" s="5">
        <v>2289.7600000000002</v>
      </c>
      <c r="O44" s="6">
        <v>40852</v>
      </c>
      <c r="P44" s="3"/>
      <c r="Q44" s="4" t="s">
        <v>2072</v>
      </c>
      <c r="R44" s="54">
        <v>4</v>
      </c>
      <c r="S44" s="69" t="s">
        <v>3060</v>
      </c>
      <c r="T44" s="55"/>
      <c r="U44" s="57">
        <v>2.85</v>
      </c>
      <c r="V44" s="55">
        <v>12</v>
      </c>
      <c r="W44" s="55">
        <v>24</v>
      </c>
      <c r="X44" s="58">
        <v>68.400000000000006</v>
      </c>
      <c r="Y44" s="54">
        <v>706</v>
      </c>
      <c r="Z44" s="69" t="s">
        <v>3061</v>
      </c>
      <c r="AA44" s="55"/>
      <c r="AB44" s="57">
        <v>1.43</v>
      </c>
      <c r="AC44" s="55">
        <v>12</v>
      </c>
      <c r="AD44" s="55">
        <v>24</v>
      </c>
      <c r="AE44" s="58">
        <v>34.32</v>
      </c>
      <c r="AF44" s="54"/>
      <c r="AG44" s="69"/>
      <c r="AH44" s="55"/>
      <c r="AI44" s="55"/>
      <c r="AJ44" s="55"/>
      <c r="AK44" s="55"/>
      <c r="AL44" s="56"/>
      <c r="AM44" s="54"/>
      <c r="AN44" s="69"/>
      <c r="AO44" s="55"/>
      <c r="AP44" s="55"/>
      <c r="AQ44" s="55"/>
      <c r="AR44" s="55"/>
      <c r="AS44" s="56"/>
      <c r="AT44" s="54"/>
      <c r="AU44" s="69"/>
      <c r="AV44" s="55"/>
      <c r="AW44" s="55"/>
      <c r="AX44" s="55"/>
      <c r="AY44" s="55"/>
      <c r="AZ44" s="56"/>
      <c r="BA44" s="65">
        <f t="shared" si="0"/>
        <v>102.72</v>
      </c>
      <c r="BB44" s="73">
        <f>VLOOKUP($C44,'REL. VT'!$C:Y,23,0)</f>
        <v>12</v>
      </c>
      <c r="BC44" s="74">
        <f>VLOOKUP($C44,'REL. VT'!$C:Z,24,0)</f>
        <v>2</v>
      </c>
      <c r="BD44" s="65">
        <f>VLOOKUP($C44,'REL. VT'!$C:AA,25,0)</f>
        <v>4.28</v>
      </c>
      <c r="BE44" s="97">
        <f>BB44*BC44*BD44</f>
        <v>102.72</v>
      </c>
      <c r="BF44" s="73"/>
      <c r="BG44" s="74"/>
      <c r="BH44" s="65"/>
      <c r="BI44" s="94"/>
      <c r="BJ44" s="73"/>
      <c r="BK44" s="74"/>
      <c r="BL44" s="65"/>
      <c r="BM44" s="94"/>
      <c r="BN44" s="65">
        <f t="shared" si="1"/>
        <v>102.72</v>
      </c>
      <c r="BO44" s="65" t="b">
        <f t="shared" si="2"/>
        <v>1</v>
      </c>
      <c r="BP44" s="70" t="s">
        <v>708</v>
      </c>
      <c r="BQ44" s="69" t="s">
        <v>1172</v>
      </c>
      <c r="BR44" s="55">
        <v>12</v>
      </c>
      <c r="BS44" s="57">
        <v>9.8000000000000007</v>
      </c>
      <c r="BT44" s="98">
        <v>117.6</v>
      </c>
      <c r="BU44" s="70" t="s">
        <v>3134</v>
      </c>
      <c r="BV44" s="69" t="s">
        <v>3135</v>
      </c>
      <c r="BW44" s="57">
        <v>0.01</v>
      </c>
      <c r="BX44" s="55"/>
      <c r="BY44" s="55">
        <v>1</v>
      </c>
      <c r="BZ44" s="58">
        <v>0.01</v>
      </c>
      <c r="CA44" s="70"/>
      <c r="CB44" s="69"/>
      <c r="CC44" s="55"/>
      <c r="CD44" s="55"/>
      <c r="CE44" s="55"/>
      <c r="CF44" s="56"/>
      <c r="CG44" s="5">
        <v>82.43</v>
      </c>
      <c r="CH44" s="5">
        <v>23.52</v>
      </c>
      <c r="CI44" s="6">
        <v>41834</v>
      </c>
      <c r="CJ44" s="6">
        <v>41863</v>
      </c>
      <c r="CK44" s="3"/>
      <c r="CL44" s="3"/>
      <c r="CM44" s="3"/>
      <c r="CN44" s="3"/>
      <c r="CO44" s="3"/>
      <c r="CP44" s="3"/>
    </row>
    <row r="45" spans="1:94">
      <c r="A45" s="3">
        <v>57053</v>
      </c>
      <c r="B45" s="4" t="s">
        <v>1442</v>
      </c>
      <c r="C45" s="4" t="s">
        <v>16</v>
      </c>
      <c r="D45" s="4" t="s">
        <v>306</v>
      </c>
      <c r="E45" s="4" t="s">
        <v>307</v>
      </c>
      <c r="F45" s="4" t="s">
        <v>1379</v>
      </c>
      <c r="G45" s="4" t="s">
        <v>1380</v>
      </c>
      <c r="H45" s="4" t="s">
        <v>1381</v>
      </c>
      <c r="I45" s="4" t="s">
        <v>188</v>
      </c>
      <c r="J45" s="4" t="s">
        <v>1362</v>
      </c>
      <c r="K45" s="3">
        <v>57</v>
      </c>
      <c r="L45" s="4" t="s">
        <v>0</v>
      </c>
      <c r="M45" s="4" t="s">
        <v>118</v>
      </c>
      <c r="N45" s="5">
        <v>2289.7600000000002</v>
      </c>
      <c r="O45" s="6">
        <v>40917</v>
      </c>
      <c r="P45" s="3"/>
      <c r="Q45" s="4" t="s">
        <v>2072</v>
      </c>
      <c r="R45" s="54">
        <v>4</v>
      </c>
      <c r="S45" s="69" t="s">
        <v>3060</v>
      </c>
      <c r="T45" s="55"/>
      <c r="U45" s="57">
        <v>2.85</v>
      </c>
      <c r="V45" s="55">
        <v>17</v>
      </c>
      <c r="W45" s="55">
        <v>34</v>
      </c>
      <c r="X45" s="58">
        <v>96.9</v>
      </c>
      <c r="Y45" s="54"/>
      <c r="Z45" s="69"/>
      <c r="AA45" s="55"/>
      <c r="AB45" s="55"/>
      <c r="AC45" s="55"/>
      <c r="AD45" s="55"/>
      <c r="AE45" s="56"/>
      <c r="AF45" s="54"/>
      <c r="AG45" s="69"/>
      <c r="AH45" s="55"/>
      <c r="AI45" s="55"/>
      <c r="AJ45" s="55"/>
      <c r="AK45" s="55"/>
      <c r="AL45" s="56"/>
      <c r="AM45" s="54"/>
      <c r="AN45" s="69"/>
      <c r="AO45" s="55"/>
      <c r="AP45" s="55"/>
      <c r="AQ45" s="55"/>
      <c r="AR45" s="55"/>
      <c r="AS45" s="56"/>
      <c r="AT45" s="54"/>
      <c r="AU45" s="69"/>
      <c r="AV45" s="55"/>
      <c r="AW45" s="55"/>
      <c r="AX45" s="55"/>
      <c r="AY45" s="55"/>
      <c r="AZ45" s="56"/>
      <c r="BA45" s="65">
        <f t="shared" si="0"/>
        <v>96.9</v>
      </c>
      <c r="BB45" s="73">
        <f>VLOOKUP($C45,'REL. VT'!$C:Y,23,0)</f>
        <v>17</v>
      </c>
      <c r="BC45" s="74">
        <f>VLOOKUP($C45,'REL. VT'!$C:Z,24,0)</f>
        <v>2</v>
      </c>
      <c r="BD45" s="65">
        <f>VLOOKUP($C45,'REL. VT'!$C:AA,25,0)</f>
        <v>2.85</v>
      </c>
      <c r="BE45" s="97">
        <f>BB45*BC45*BD45</f>
        <v>96.9</v>
      </c>
      <c r="BF45" s="73"/>
      <c r="BG45" s="74"/>
      <c r="BH45" s="65"/>
      <c r="BI45" s="94"/>
      <c r="BJ45" s="73"/>
      <c r="BK45" s="74"/>
      <c r="BL45" s="65"/>
      <c r="BM45" s="94"/>
      <c r="BN45" s="65">
        <f t="shared" si="1"/>
        <v>96.9</v>
      </c>
      <c r="BO45" s="65" t="b">
        <f t="shared" si="2"/>
        <v>1</v>
      </c>
      <c r="BP45" s="70" t="s">
        <v>708</v>
      </c>
      <c r="BQ45" s="69" t="s">
        <v>1172</v>
      </c>
      <c r="BR45" s="55">
        <v>20</v>
      </c>
      <c r="BS45" s="57">
        <v>9.8000000000000007</v>
      </c>
      <c r="BT45" s="98">
        <v>196</v>
      </c>
      <c r="BU45" s="70" t="s">
        <v>3134</v>
      </c>
      <c r="BV45" s="69" t="s">
        <v>3135</v>
      </c>
      <c r="BW45" s="57">
        <v>0.01</v>
      </c>
      <c r="BX45" s="55"/>
      <c r="BY45" s="55">
        <v>1</v>
      </c>
      <c r="BZ45" s="58">
        <v>0.01</v>
      </c>
      <c r="CA45" s="70"/>
      <c r="CB45" s="69"/>
      <c r="CC45" s="55"/>
      <c r="CD45" s="55"/>
      <c r="CE45" s="55"/>
      <c r="CF45" s="56"/>
      <c r="CG45" s="5">
        <v>96.9</v>
      </c>
      <c r="CH45" s="5">
        <v>39.200000000000003</v>
      </c>
      <c r="CI45" s="3"/>
      <c r="CJ45" s="3"/>
      <c r="CK45" s="3"/>
      <c r="CL45" s="3"/>
      <c r="CM45" s="3"/>
      <c r="CN45" s="3"/>
      <c r="CO45" s="3"/>
      <c r="CP45" s="3"/>
    </row>
    <row r="46" spans="1:94">
      <c r="A46" s="3">
        <v>56197</v>
      </c>
      <c r="B46" s="4" t="s">
        <v>1443</v>
      </c>
      <c r="C46" s="4" t="s">
        <v>67</v>
      </c>
      <c r="D46" s="4" t="s">
        <v>441</v>
      </c>
      <c r="E46" s="4" t="s">
        <v>442</v>
      </c>
      <c r="F46" s="4" t="s">
        <v>1400</v>
      </c>
      <c r="G46" s="4" t="s">
        <v>1401</v>
      </c>
      <c r="H46" s="4" t="s">
        <v>1402</v>
      </c>
      <c r="I46" s="4" t="s">
        <v>188</v>
      </c>
      <c r="J46" s="4" t="s">
        <v>1362</v>
      </c>
      <c r="K46" s="3">
        <v>57</v>
      </c>
      <c r="L46" s="4" t="s">
        <v>0</v>
      </c>
      <c r="M46" s="4" t="s">
        <v>193</v>
      </c>
      <c r="N46" s="5">
        <v>2110.38</v>
      </c>
      <c r="O46" s="6">
        <v>40852</v>
      </c>
      <c r="P46" s="3"/>
      <c r="Q46" s="4" t="s">
        <v>2072</v>
      </c>
      <c r="R46" s="54"/>
      <c r="S46" s="69"/>
      <c r="T46" s="55"/>
      <c r="U46" s="55"/>
      <c r="V46" s="55"/>
      <c r="W46" s="55"/>
      <c r="X46" s="56"/>
      <c r="Y46" s="54"/>
      <c r="Z46" s="69"/>
      <c r="AA46" s="55"/>
      <c r="AB46" s="55"/>
      <c r="AC46" s="55"/>
      <c r="AD46" s="55"/>
      <c r="AE46" s="56"/>
      <c r="AF46" s="54"/>
      <c r="AG46" s="69"/>
      <c r="AH46" s="55"/>
      <c r="AI46" s="55"/>
      <c r="AJ46" s="55"/>
      <c r="AK46" s="55"/>
      <c r="AL46" s="56"/>
      <c r="AM46" s="54"/>
      <c r="AN46" s="69"/>
      <c r="AO46" s="55"/>
      <c r="AP46" s="55"/>
      <c r="AQ46" s="55"/>
      <c r="AR46" s="55"/>
      <c r="AS46" s="56"/>
      <c r="AT46" s="54"/>
      <c r="AU46" s="69"/>
      <c r="AV46" s="55"/>
      <c r="AW46" s="55"/>
      <c r="AX46" s="55"/>
      <c r="AY46" s="55"/>
      <c r="AZ46" s="56"/>
      <c r="BA46" s="65">
        <f t="shared" si="0"/>
        <v>0</v>
      </c>
      <c r="BB46" s="73"/>
      <c r="BC46" s="74"/>
      <c r="BD46" s="65"/>
      <c r="BE46" s="94"/>
      <c r="BF46" s="73"/>
      <c r="BG46" s="74"/>
      <c r="BH46" s="65"/>
      <c r="BI46" s="94"/>
      <c r="BJ46" s="73"/>
      <c r="BK46" s="74"/>
      <c r="BL46" s="65"/>
      <c r="BM46" s="94"/>
      <c r="BN46" s="65">
        <f t="shared" si="1"/>
        <v>0</v>
      </c>
      <c r="BO46" s="65" t="b">
        <f t="shared" si="2"/>
        <v>1</v>
      </c>
      <c r="BP46" s="70" t="s">
        <v>708</v>
      </c>
      <c r="BQ46" s="69" t="s">
        <v>1172</v>
      </c>
      <c r="BR46" s="55">
        <v>21</v>
      </c>
      <c r="BS46" s="57">
        <v>9.8000000000000007</v>
      </c>
      <c r="BT46" s="98">
        <v>205.8</v>
      </c>
      <c r="BU46" s="70" t="s">
        <v>3134</v>
      </c>
      <c r="BV46" s="69" t="s">
        <v>3135</v>
      </c>
      <c r="BW46" s="57">
        <v>0.01</v>
      </c>
      <c r="BX46" s="55"/>
      <c r="BY46" s="55">
        <v>1</v>
      </c>
      <c r="BZ46" s="58">
        <v>0.01</v>
      </c>
      <c r="CA46" s="70"/>
      <c r="CB46" s="69"/>
      <c r="CC46" s="55"/>
      <c r="CD46" s="55"/>
      <c r="CE46" s="55"/>
      <c r="CF46" s="56"/>
      <c r="CG46" s="3"/>
      <c r="CH46" s="5">
        <v>41.16</v>
      </c>
      <c r="CI46" s="3"/>
      <c r="CJ46" s="3"/>
      <c r="CK46" s="3"/>
      <c r="CL46" s="3"/>
      <c r="CM46" s="3"/>
      <c r="CN46" s="3"/>
      <c r="CO46" s="3"/>
      <c r="CP46" s="3"/>
    </row>
    <row r="47" spans="1:94">
      <c r="A47" s="3">
        <v>56013</v>
      </c>
      <c r="B47" s="4" t="s">
        <v>1444</v>
      </c>
      <c r="C47" s="4" t="s">
        <v>17</v>
      </c>
      <c r="D47" s="4" t="s">
        <v>306</v>
      </c>
      <c r="E47" s="4" t="s">
        <v>307</v>
      </c>
      <c r="F47" s="4" t="s">
        <v>1379</v>
      </c>
      <c r="G47" s="4" t="s">
        <v>1380</v>
      </c>
      <c r="H47" s="4" t="s">
        <v>1381</v>
      </c>
      <c r="I47" s="4" t="s">
        <v>188</v>
      </c>
      <c r="J47" s="4" t="s">
        <v>1362</v>
      </c>
      <c r="K47" s="3">
        <v>57</v>
      </c>
      <c r="L47" s="4" t="s">
        <v>0</v>
      </c>
      <c r="M47" s="4" t="s">
        <v>118</v>
      </c>
      <c r="N47" s="5">
        <v>2289.7600000000002</v>
      </c>
      <c r="O47" s="6">
        <v>40852</v>
      </c>
      <c r="P47" s="3"/>
      <c r="Q47" s="4" t="s">
        <v>2072</v>
      </c>
      <c r="R47" s="54">
        <v>4</v>
      </c>
      <c r="S47" s="69" t="s">
        <v>3060</v>
      </c>
      <c r="T47" s="55"/>
      <c r="U47" s="57">
        <v>2.85</v>
      </c>
      <c r="V47" s="55">
        <v>20</v>
      </c>
      <c r="W47" s="55">
        <v>40</v>
      </c>
      <c r="X47" s="58">
        <v>114</v>
      </c>
      <c r="Y47" s="54">
        <v>465</v>
      </c>
      <c r="Z47" s="69" t="s">
        <v>3044</v>
      </c>
      <c r="AA47" s="55"/>
      <c r="AB47" s="57">
        <v>3.25</v>
      </c>
      <c r="AC47" s="55">
        <v>6</v>
      </c>
      <c r="AD47" s="55">
        <v>12</v>
      </c>
      <c r="AE47" s="58">
        <v>39</v>
      </c>
      <c r="AF47" s="54"/>
      <c r="AG47" s="69"/>
      <c r="AH47" s="55"/>
      <c r="AI47" s="55"/>
      <c r="AJ47" s="55"/>
      <c r="AK47" s="55"/>
      <c r="AL47" s="56"/>
      <c r="AM47" s="54"/>
      <c r="AN47" s="69"/>
      <c r="AO47" s="55"/>
      <c r="AP47" s="55"/>
      <c r="AQ47" s="55"/>
      <c r="AR47" s="55"/>
      <c r="AS47" s="56"/>
      <c r="AT47" s="54"/>
      <c r="AU47" s="69"/>
      <c r="AV47" s="55"/>
      <c r="AW47" s="55"/>
      <c r="AX47" s="55"/>
      <c r="AY47" s="55"/>
      <c r="AZ47" s="56"/>
      <c r="BA47" s="65">
        <f t="shared" si="0"/>
        <v>153</v>
      </c>
      <c r="BB47" s="73">
        <f>VLOOKUP($C47,'REL. VT'!$C:Y,23,0)</f>
        <v>20</v>
      </c>
      <c r="BC47" s="74">
        <f>VLOOKUP($C47,'REL. VT'!$C:Z,24,0)</f>
        <v>2</v>
      </c>
      <c r="BD47" s="65">
        <f>VLOOKUP($C47,'REL. VT'!$C:AA,25,0)</f>
        <v>2.85</v>
      </c>
      <c r="BE47" s="97">
        <f>BB47*BC47*BD47</f>
        <v>114</v>
      </c>
      <c r="BF47" s="73">
        <f>VLOOKUP($C47,'REL. VT'!$C:AF,30,0)</f>
        <v>6</v>
      </c>
      <c r="BG47" s="74">
        <f>VLOOKUP($C47,'REL. VT'!$C:AG,31,0)</f>
        <v>2</v>
      </c>
      <c r="BH47" s="65">
        <f>VLOOKUP($C47,'REL. VT'!$C:AH,32,0)</f>
        <v>3.25</v>
      </c>
      <c r="BI47" s="97">
        <f>BF47*BG47*BH47</f>
        <v>39</v>
      </c>
      <c r="BJ47" s="73"/>
      <c r="BK47" s="74"/>
      <c r="BL47" s="65"/>
      <c r="BM47" s="94"/>
      <c r="BN47" s="65">
        <f t="shared" si="1"/>
        <v>153</v>
      </c>
      <c r="BO47" s="65" t="b">
        <f t="shared" si="2"/>
        <v>1</v>
      </c>
      <c r="BP47" s="70" t="s">
        <v>708</v>
      </c>
      <c r="BQ47" s="69" t="s">
        <v>1172</v>
      </c>
      <c r="BR47" s="55">
        <v>20</v>
      </c>
      <c r="BS47" s="57">
        <v>9.8000000000000007</v>
      </c>
      <c r="BT47" s="98">
        <v>196</v>
      </c>
      <c r="BU47" s="70" t="s">
        <v>3134</v>
      </c>
      <c r="BV47" s="69" t="s">
        <v>3135</v>
      </c>
      <c r="BW47" s="57">
        <v>0.01</v>
      </c>
      <c r="BX47" s="55"/>
      <c r="BY47" s="55">
        <v>1</v>
      </c>
      <c r="BZ47" s="58">
        <v>0.01</v>
      </c>
      <c r="CA47" s="70"/>
      <c r="CB47" s="69"/>
      <c r="CC47" s="55"/>
      <c r="CD47" s="55"/>
      <c r="CE47" s="55"/>
      <c r="CF47" s="56"/>
      <c r="CG47" s="5">
        <v>137.38999999999999</v>
      </c>
      <c r="CH47" s="5">
        <v>39.200000000000003</v>
      </c>
      <c r="CI47" s="3"/>
      <c r="CJ47" s="3"/>
      <c r="CK47" s="3"/>
      <c r="CL47" s="3"/>
      <c r="CM47" s="3"/>
      <c r="CN47" s="3"/>
      <c r="CO47" s="3"/>
      <c r="CP47" s="3"/>
    </row>
    <row r="48" spans="1:94">
      <c r="A48" s="3">
        <v>56136</v>
      </c>
      <c r="B48" s="4" t="s">
        <v>1284</v>
      </c>
      <c r="C48" s="4" t="s">
        <v>78</v>
      </c>
      <c r="D48" s="4" t="s">
        <v>687</v>
      </c>
      <c r="E48" s="4" t="s">
        <v>688</v>
      </c>
      <c r="F48" s="4" t="s">
        <v>1445</v>
      </c>
      <c r="G48" s="4" t="s">
        <v>1446</v>
      </c>
      <c r="H48" s="4" t="s">
        <v>1447</v>
      </c>
      <c r="I48" s="4" t="s">
        <v>188</v>
      </c>
      <c r="J48" s="4" t="s">
        <v>1362</v>
      </c>
      <c r="K48" s="3">
        <v>57</v>
      </c>
      <c r="L48" s="4" t="s">
        <v>0</v>
      </c>
      <c r="M48" s="4" t="s">
        <v>1208</v>
      </c>
      <c r="N48" s="5">
        <v>2110.37</v>
      </c>
      <c r="O48" s="6">
        <v>40852</v>
      </c>
      <c r="P48" s="3"/>
      <c r="Q48" s="4" t="s">
        <v>2072</v>
      </c>
      <c r="R48" s="54"/>
      <c r="S48" s="69"/>
      <c r="T48" s="55"/>
      <c r="U48" s="55"/>
      <c r="V48" s="55"/>
      <c r="W48" s="55"/>
      <c r="X48" s="56"/>
      <c r="Y48" s="54"/>
      <c r="Z48" s="69"/>
      <c r="AA48" s="55"/>
      <c r="AB48" s="55"/>
      <c r="AC48" s="55"/>
      <c r="AD48" s="55"/>
      <c r="AE48" s="56"/>
      <c r="AF48" s="54"/>
      <c r="AG48" s="69"/>
      <c r="AH48" s="55"/>
      <c r="AI48" s="55"/>
      <c r="AJ48" s="55"/>
      <c r="AK48" s="55"/>
      <c r="AL48" s="56"/>
      <c r="AM48" s="54"/>
      <c r="AN48" s="69"/>
      <c r="AO48" s="55"/>
      <c r="AP48" s="55"/>
      <c r="AQ48" s="55"/>
      <c r="AR48" s="55"/>
      <c r="AS48" s="56"/>
      <c r="AT48" s="54"/>
      <c r="AU48" s="69"/>
      <c r="AV48" s="55"/>
      <c r="AW48" s="55"/>
      <c r="AX48" s="55"/>
      <c r="AY48" s="55"/>
      <c r="AZ48" s="56"/>
      <c r="BA48" s="65">
        <f t="shared" si="0"/>
        <v>0</v>
      </c>
      <c r="BB48" s="73"/>
      <c r="BC48" s="74"/>
      <c r="BD48" s="65"/>
      <c r="BE48" s="94"/>
      <c r="BF48" s="73"/>
      <c r="BG48" s="74"/>
      <c r="BH48" s="65"/>
      <c r="BI48" s="94"/>
      <c r="BJ48" s="73"/>
      <c r="BK48" s="74"/>
      <c r="BL48" s="65"/>
      <c r="BM48" s="94"/>
      <c r="BN48" s="65">
        <f t="shared" si="1"/>
        <v>0</v>
      </c>
      <c r="BO48" s="65" t="b">
        <f t="shared" si="2"/>
        <v>1</v>
      </c>
      <c r="BP48" s="70" t="s">
        <v>708</v>
      </c>
      <c r="BQ48" s="69" t="s">
        <v>1172</v>
      </c>
      <c r="BR48" s="55">
        <v>20</v>
      </c>
      <c r="BS48" s="57">
        <v>9.8000000000000007</v>
      </c>
      <c r="BT48" s="98">
        <v>196</v>
      </c>
      <c r="BU48" s="70" t="s">
        <v>3134</v>
      </c>
      <c r="BV48" s="69" t="s">
        <v>3135</v>
      </c>
      <c r="BW48" s="57">
        <v>0.01</v>
      </c>
      <c r="BX48" s="55"/>
      <c r="BY48" s="55">
        <v>1</v>
      </c>
      <c r="BZ48" s="58">
        <v>0.01</v>
      </c>
      <c r="CA48" s="70"/>
      <c r="CB48" s="69"/>
      <c r="CC48" s="55"/>
      <c r="CD48" s="55"/>
      <c r="CE48" s="55"/>
      <c r="CF48" s="56"/>
      <c r="CG48" s="3"/>
      <c r="CH48" s="5">
        <v>39.200000000000003</v>
      </c>
      <c r="CI48" s="3"/>
      <c r="CJ48" s="3"/>
      <c r="CK48" s="3"/>
      <c r="CL48" s="3"/>
      <c r="CM48" s="3"/>
      <c r="CN48" s="3"/>
      <c r="CO48" s="3"/>
      <c r="CP48" s="3"/>
    </row>
    <row r="49" spans="1:94">
      <c r="A49" s="3">
        <v>56135</v>
      </c>
      <c r="B49" s="4" t="s">
        <v>1448</v>
      </c>
      <c r="C49" s="4" t="s">
        <v>75</v>
      </c>
      <c r="D49" s="4" t="s">
        <v>421</v>
      </c>
      <c r="E49" s="4" t="s">
        <v>422</v>
      </c>
      <c r="F49" s="4" t="s">
        <v>1395</v>
      </c>
      <c r="G49" s="4" t="s">
        <v>1396</v>
      </c>
      <c r="H49" s="4" t="s">
        <v>1397</v>
      </c>
      <c r="I49" s="4" t="s">
        <v>188</v>
      </c>
      <c r="J49" s="4" t="s">
        <v>1362</v>
      </c>
      <c r="K49" s="3">
        <v>57</v>
      </c>
      <c r="L49" s="4" t="s">
        <v>0</v>
      </c>
      <c r="M49" s="4" t="s">
        <v>324</v>
      </c>
      <c r="N49" s="5">
        <v>2110.38</v>
      </c>
      <c r="O49" s="6">
        <v>40852</v>
      </c>
      <c r="P49" s="3"/>
      <c r="Q49" s="4" t="s">
        <v>2072</v>
      </c>
      <c r="R49" s="54"/>
      <c r="S49" s="69"/>
      <c r="T49" s="55"/>
      <c r="U49" s="55"/>
      <c r="V49" s="55"/>
      <c r="W49" s="55"/>
      <c r="X49" s="56"/>
      <c r="Y49" s="54"/>
      <c r="Z49" s="69"/>
      <c r="AA49" s="55"/>
      <c r="AB49" s="55"/>
      <c r="AC49" s="55"/>
      <c r="AD49" s="55"/>
      <c r="AE49" s="56"/>
      <c r="AF49" s="54"/>
      <c r="AG49" s="69"/>
      <c r="AH49" s="55"/>
      <c r="AI49" s="55"/>
      <c r="AJ49" s="55"/>
      <c r="AK49" s="55"/>
      <c r="AL49" s="56"/>
      <c r="AM49" s="54"/>
      <c r="AN49" s="69"/>
      <c r="AO49" s="55"/>
      <c r="AP49" s="55"/>
      <c r="AQ49" s="55"/>
      <c r="AR49" s="55"/>
      <c r="AS49" s="56"/>
      <c r="AT49" s="54"/>
      <c r="AU49" s="69"/>
      <c r="AV49" s="55"/>
      <c r="AW49" s="55"/>
      <c r="AX49" s="55"/>
      <c r="AY49" s="55"/>
      <c r="AZ49" s="56"/>
      <c r="BA49" s="65">
        <f t="shared" si="0"/>
        <v>0</v>
      </c>
      <c r="BB49" s="73"/>
      <c r="BC49" s="74"/>
      <c r="BD49" s="65"/>
      <c r="BE49" s="94"/>
      <c r="BF49" s="73"/>
      <c r="BG49" s="74"/>
      <c r="BH49" s="65"/>
      <c r="BI49" s="94"/>
      <c r="BJ49" s="73"/>
      <c r="BK49" s="74"/>
      <c r="BL49" s="65"/>
      <c r="BM49" s="94"/>
      <c r="BN49" s="65">
        <f t="shared" si="1"/>
        <v>0</v>
      </c>
      <c r="BO49" s="65" t="b">
        <f t="shared" si="2"/>
        <v>1</v>
      </c>
      <c r="BP49" s="70" t="s">
        <v>708</v>
      </c>
      <c r="BQ49" s="69" t="s">
        <v>1172</v>
      </c>
      <c r="BR49" s="55">
        <v>20</v>
      </c>
      <c r="BS49" s="57">
        <v>9.8000000000000007</v>
      </c>
      <c r="BT49" s="98">
        <v>196</v>
      </c>
      <c r="BU49" s="70" t="s">
        <v>3134</v>
      </c>
      <c r="BV49" s="69" t="s">
        <v>3135</v>
      </c>
      <c r="BW49" s="57">
        <v>0.01</v>
      </c>
      <c r="BX49" s="55"/>
      <c r="BY49" s="55">
        <v>1</v>
      </c>
      <c r="BZ49" s="58">
        <v>0.01</v>
      </c>
      <c r="CA49" s="70"/>
      <c r="CB49" s="69"/>
      <c r="CC49" s="55"/>
      <c r="CD49" s="55"/>
      <c r="CE49" s="55"/>
      <c r="CF49" s="56"/>
      <c r="CG49" s="3"/>
      <c r="CH49" s="5">
        <v>39.200000000000003</v>
      </c>
      <c r="CI49" s="3"/>
      <c r="CJ49" s="3"/>
      <c r="CK49" s="3"/>
      <c r="CL49" s="3"/>
      <c r="CM49" s="3"/>
      <c r="CN49" s="3"/>
      <c r="CO49" s="3"/>
      <c r="CP49" s="3"/>
    </row>
    <row r="50" spans="1:94">
      <c r="A50" s="3">
        <v>64363</v>
      </c>
      <c r="B50" s="4" t="s">
        <v>1781</v>
      </c>
      <c r="C50" s="4" t="s">
        <v>1262</v>
      </c>
      <c r="D50" s="4" t="s">
        <v>3009</v>
      </c>
      <c r="E50" s="4" t="s">
        <v>3054</v>
      </c>
      <c r="F50" s="4" t="s">
        <v>3008</v>
      </c>
      <c r="G50" s="4" t="s">
        <v>3028</v>
      </c>
      <c r="H50" s="4" t="s">
        <v>3029</v>
      </c>
      <c r="I50" s="4" t="s">
        <v>188</v>
      </c>
      <c r="J50" s="4" t="s">
        <v>1362</v>
      </c>
      <c r="K50" s="3">
        <v>57</v>
      </c>
      <c r="L50" s="4" t="s">
        <v>0</v>
      </c>
      <c r="M50" s="4" t="s">
        <v>118</v>
      </c>
      <c r="N50" s="5">
        <v>2289.7600000000002</v>
      </c>
      <c r="O50" s="6">
        <v>41300</v>
      </c>
      <c r="P50" s="3"/>
      <c r="Q50" s="4" t="s">
        <v>2072</v>
      </c>
      <c r="R50" s="54">
        <v>4</v>
      </c>
      <c r="S50" s="69" t="s">
        <v>3060</v>
      </c>
      <c r="T50" s="55"/>
      <c r="U50" s="57">
        <v>2.85</v>
      </c>
      <c r="V50" s="55">
        <v>18</v>
      </c>
      <c r="W50" s="55">
        <v>36</v>
      </c>
      <c r="X50" s="58">
        <v>102.6</v>
      </c>
      <c r="Y50" s="54">
        <v>29</v>
      </c>
      <c r="Z50" s="69" t="s">
        <v>3045</v>
      </c>
      <c r="AA50" s="55"/>
      <c r="AB50" s="57">
        <v>4.3499999999999996</v>
      </c>
      <c r="AC50" s="55">
        <v>7</v>
      </c>
      <c r="AD50" s="55">
        <v>14</v>
      </c>
      <c r="AE50" s="58">
        <v>60.9</v>
      </c>
      <c r="AF50" s="54"/>
      <c r="AG50" s="69"/>
      <c r="AH50" s="55"/>
      <c r="AI50" s="55"/>
      <c r="AJ50" s="55"/>
      <c r="AK50" s="55"/>
      <c r="AL50" s="56"/>
      <c r="AM50" s="54"/>
      <c r="AN50" s="69"/>
      <c r="AO50" s="55"/>
      <c r="AP50" s="55"/>
      <c r="AQ50" s="55"/>
      <c r="AR50" s="55"/>
      <c r="AS50" s="56"/>
      <c r="AT50" s="54"/>
      <c r="AU50" s="69"/>
      <c r="AV50" s="55"/>
      <c r="AW50" s="55"/>
      <c r="AX50" s="55"/>
      <c r="AY50" s="55"/>
      <c r="AZ50" s="56"/>
      <c r="BA50" s="65">
        <f t="shared" si="0"/>
        <v>163.5</v>
      </c>
      <c r="BB50" s="73">
        <f>VLOOKUP($C50,'REL. VT'!$C:Y,23,0)</f>
        <v>18</v>
      </c>
      <c r="BC50" s="74">
        <f>VLOOKUP($C50,'REL. VT'!$C:Z,24,0)</f>
        <v>2</v>
      </c>
      <c r="BD50" s="65">
        <f>VLOOKUP($C50,'REL. VT'!$C:AA,25,0)</f>
        <v>2.85</v>
      </c>
      <c r="BE50" s="97">
        <f>BB50*BC50*BD50</f>
        <v>102.60000000000001</v>
      </c>
      <c r="BF50" s="73">
        <f>VLOOKUP($C50,'REL. VT'!$C:AF,30,0)</f>
        <v>7</v>
      </c>
      <c r="BG50" s="74">
        <f>VLOOKUP($C50,'REL. VT'!$C:AG,31,0)</f>
        <v>2</v>
      </c>
      <c r="BH50" s="65">
        <f>VLOOKUP($C50,'REL. VT'!$C:AH,32,0)</f>
        <v>4.3499999999999996</v>
      </c>
      <c r="BI50" s="97">
        <f>BF50*BG50*BH50</f>
        <v>60.899999999999991</v>
      </c>
      <c r="BJ50" s="73"/>
      <c r="BK50" s="74"/>
      <c r="BL50" s="65"/>
      <c r="BM50" s="94"/>
      <c r="BN50" s="65">
        <f t="shared" si="1"/>
        <v>163.5</v>
      </c>
      <c r="BO50" s="65" t="b">
        <f t="shared" si="2"/>
        <v>1</v>
      </c>
      <c r="BP50" s="70" t="s">
        <v>708</v>
      </c>
      <c r="BQ50" s="69" t="s">
        <v>1172</v>
      </c>
      <c r="BR50" s="55">
        <v>20</v>
      </c>
      <c r="BS50" s="57">
        <v>9.8000000000000007</v>
      </c>
      <c r="BT50" s="98">
        <v>196</v>
      </c>
      <c r="BU50" s="70" t="s">
        <v>3134</v>
      </c>
      <c r="BV50" s="69" t="s">
        <v>3135</v>
      </c>
      <c r="BW50" s="57">
        <v>0.01</v>
      </c>
      <c r="BX50" s="55"/>
      <c r="BY50" s="55">
        <v>1</v>
      </c>
      <c r="BZ50" s="58">
        <v>0.01</v>
      </c>
      <c r="CA50" s="70"/>
      <c r="CB50" s="69"/>
      <c r="CC50" s="55"/>
      <c r="CD50" s="55"/>
      <c r="CE50" s="55"/>
      <c r="CF50" s="56"/>
      <c r="CG50" s="5">
        <v>137.38999999999999</v>
      </c>
      <c r="CH50" s="5">
        <v>39.200000000000003</v>
      </c>
      <c r="CI50" s="3"/>
      <c r="CJ50" s="3"/>
      <c r="CK50" s="3"/>
      <c r="CL50" s="3"/>
      <c r="CM50" s="3"/>
      <c r="CN50" s="3"/>
      <c r="CO50" s="3"/>
      <c r="CP50" s="3"/>
    </row>
    <row r="51" spans="1:94">
      <c r="A51" s="3">
        <v>56199</v>
      </c>
      <c r="B51" s="4" t="s">
        <v>1449</v>
      </c>
      <c r="C51" s="4" t="s">
        <v>85</v>
      </c>
      <c r="D51" s="4" t="s">
        <v>189</v>
      </c>
      <c r="E51" s="4" t="s">
        <v>190</v>
      </c>
      <c r="F51" s="4" t="s">
        <v>1359</v>
      </c>
      <c r="G51" s="4" t="s">
        <v>1360</v>
      </c>
      <c r="H51" s="4" t="s">
        <v>1361</v>
      </c>
      <c r="I51" s="4" t="s">
        <v>188</v>
      </c>
      <c r="J51" s="4" t="s">
        <v>1362</v>
      </c>
      <c r="K51" s="3">
        <v>57</v>
      </c>
      <c r="L51" s="4" t="s">
        <v>0</v>
      </c>
      <c r="M51" s="4" t="s">
        <v>329</v>
      </c>
      <c r="N51" s="5">
        <v>2110.38</v>
      </c>
      <c r="O51" s="6">
        <v>40852</v>
      </c>
      <c r="P51" s="3"/>
      <c r="Q51" s="4" t="s">
        <v>2072</v>
      </c>
      <c r="R51" s="54"/>
      <c r="S51" s="69"/>
      <c r="T51" s="55"/>
      <c r="U51" s="55"/>
      <c r="V51" s="55"/>
      <c r="W51" s="55"/>
      <c r="X51" s="56"/>
      <c r="Y51" s="54"/>
      <c r="Z51" s="69"/>
      <c r="AA51" s="55"/>
      <c r="AB51" s="55"/>
      <c r="AC51" s="55"/>
      <c r="AD51" s="55"/>
      <c r="AE51" s="56"/>
      <c r="AF51" s="54"/>
      <c r="AG51" s="69"/>
      <c r="AH51" s="55"/>
      <c r="AI51" s="55"/>
      <c r="AJ51" s="55"/>
      <c r="AK51" s="55"/>
      <c r="AL51" s="56"/>
      <c r="AM51" s="54"/>
      <c r="AN51" s="69"/>
      <c r="AO51" s="55"/>
      <c r="AP51" s="55"/>
      <c r="AQ51" s="55"/>
      <c r="AR51" s="55"/>
      <c r="AS51" s="56"/>
      <c r="AT51" s="54"/>
      <c r="AU51" s="69"/>
      <c r="AV51" s="55"/>
      <c r="AW51" s="55"/>
      <c r="AX51" s="55"/>
      <c r="AY51" s="55"/>
      <c r="AZ51" s="56"/>
      <c r="BA51" s="65">
        <f t="shared" si="0"/>
        <v>0</v>
      </c>
      <c r="BB51" s="73"/>
      <c r="BC51" s="74"/>
      <c r="BD51" s="65"/>
      <c r="BE51" s="94"/>
      <c r="BF51" s="73"/>
      <c r="BG51" s="74"/>
      <c r="BH51" s="65"/>
      <c r="BI51" s="94"/>
      <c r="BJ51" s="73"/>
      <c r="BK51" s="74"/>
      <c r="BL51" s="65"/>
      <c r="BM51" s="94"/>
      <c r="BN51" s="65">
        <f t="shared" si="1"/>
        <v>0</v>
      </c>
      <c r="BO51" s="65" t="b">
        <f t="shared" si="2"/>
        <v>1</v>
      </c>
      <c r="BP51" s="70" t="s">
        <v>708</v>
      </c>
      <c r="BQ51" s="69" t="s">
        <v>1172</v>
      </c>
      <c r="BR51" s="55">
        <v>21</v>
      </c>
      <c r="BS51" s="57">
        <v>9.8000000000000007</v>
      </c>
      <c r="BT51" s="98">
        <v>205.8</v>
      </c>
      <c r="BU51" s="70" t="s">
        <v>3134</v>
      </c>
      <c r="BV51" s="69" t="s">
        <v>3135</v>
      </c>
      <c r="BW51" s="57">
        <v>0.01</v>
      </c>
      <c r="BX51" s="55"/>
      <c r="BY51" s="55">
        <v>1</v>
      </c>
      <c r="BZ51" s="58">
        <v>0.01</v>
      </c>
      <c r="CA51" s="70"/>
      <c r="CB51" s="69"/>
      <c r="CC51" s="55"/>
      <c r="CD51" s="55"/>
      <c r="CE51" s="55"/>
      <c r="CF51" s="56"/>
      <c r="CG51" s="3"/>
      <c r="CH51" s="5">
        <v>41.16</v>
      </c>
      <c r="CI51" s="3"/>
      <c r="CJ51" s="3"/>
      <c r="CK51" s="3"/>
      <c r="CL51" s="3"/>
      <c r="CM51" s="3"/>
      <c r="CN51" s="3"/>
      <c r="CO51" s="3"/>
      <c r="CP51" s="3"/>
    </row>
    <row r="52" spans="1:94">
      <c r="A52" s="3">
        <v>66397</v>
      </c>
      <c r="B52" s="4" t="s">
        <v>1450</v>
      </c>
      <c r="C52" s="4" t="s">
        <v>1326</v>
      </c>
      <c r="D52" s="4" t="s">
        <v>306</v>
      </c>
      <c r="E52" s="4" t="s">
        <v>307</v>
      </c>
      <c r="F52" s="4" t="s">
        <v>1379</v>
      </c>
      <c r="G52" s="4" t="s">
        <v>1380</v>
      </c>
      <c r="H52" s="4" t="s">
        <v>1381</v>
      </c>
      <c r="I52" s="4" t="s">
        <v>188</v>
      </c>
      <c r="J52" s="4" t="s">
        <v>1362</v>
      </c>
      <c r="K52" s="3">
        <v>57</v>
      </c>
      <c r="L52" s="4" t="s">
        <v>0</v>
      </c>
      <c r="M52" s="4" t="s">
        <v>118</v>
      </c>
      <c r="N52" s="5">
        <v>2289.7600000000002</v>
      </c>
      <c r="O52" s="6">
        <v>41403</v>
      </c>
      <c r="P52" s="3"/>
      <c r="Q52" s="4" t="s">
        <v>2072</v>
      </c>
      <c r="R52" s="54"/>
      <c r="S52" s="69"/>
      <c r="T52" s="55"/>
      <c r="U52" s="55"/>
      <c r="V52" s="55"/>
      <c r="W52" s="55"/>
      <c r="X52" s="56"/>
      <c r="Y52" s="54"/>
      <c r="Z52" s="69"/>
      <c r="AA52" s="55"/>
      <c r="AB52" s="55"/>
      <c r="AC52" s="55"/>
      <c r="AD52" s="55"/>
      <c r="AE52" s="56"/>
      <c r="AF52" s="54"/>
      <c r="AG52" s="69"/>
      <c r="AH52" s="55"/>
      <c r="AI52" s="55"/>
      <c r="AJ52" s="55"/>
      <c r="AK52" s="55"/>
      <c r="AL52" s="56"/>
      <c r="AM52" s="54"/>
      <c r="AN52" s="69"/>
      <c r="AO52" s="55"/>
      <c r="AP52" s="55"/>
      <c r="AQ52" s="55"/>
      <c r="AR52" s="55"/>
      <c r="AS52" s="56"/>
      <c r="AT52" s="54"/>
      <c r="AU52" s="69"/>
      <c r="AV52" s="55"/>
      <c r="AW52" s="55"/>
      <c r="AX52" s="55"/>
      <c r="AY52" s="55"/>
      <c r="AZ52" s="56"/>
      <c r="BA52" s="65">
        <f t="shared" si="0"/>
        <v>0</v>
      </c>
      <c r="BB52" s="73"/>
      <c r="BC52" s="74"/>
      <c r="BD52" s="65"/>
      <c r="BE52" s="94"/>
      <c r="BF52" s="73"/>
      <c r="BG52" s="74"/>
      <c r="BH52" s="65"/>
      <c r="BI52" s="94"/>
      <c r="BJ52" s="73"/>
      <c r="BK52" s="74"/>
      <c r="BL52" s="65"/>
      <c r="BM52" s="94"/>
      <c r="BN52" s="65">
        <f t="shared" si="1"/>
        <v>0</v>
      </c>
      <c r="BO52" s="65" t="b">
        <f t="shared" si="2"/>
        <v>1</v>
      </c>
      <c r="BP52" s="70" t="s">
        <v>708</v>
      </c>
      <c r="BQ52" s="69" t="s">
        <v>1172</v>
      </c>
      <c r="BR52" s="55">
        <v>20</v>
      </c>
      <c r="BS52" s="57">
        <v>9.8000000000000007</v>
      </c>
      <c r="BT52" s="98">
        <v>196</v>
      </c>
      <c r="BU52" s="70" t="s">
        <v>3134</v>
      </c>
      <c r="BV52" s="69" t="s">
        <v>3135</v>
      </c>
      <c r="BW52" s="57">
        <v>0.01</v>
      </c>
      <c r="BX52" s="55"/>
      <c r="BY52" s="55">
        <v>1</v>
      </c>
      <c r="BZ52" s="58">
        <v>0.01</v>
      </c>
      <c r="CA52" s="70"/>
      <c r="CB52" s="69"/>
      <c r="CC52" s="55"/>
      <c r="CD52" s="55"/>
      <c r="CE52" s="55"/>
      <c r="CF52" s="56"/>
      <c r="CG52" s="3"/>
      <c r="CH52" s="5">
        <v>39.200000000000003</v>
      </c>
      <c r="CI52" s="3"/>
      <c r="CJ52" s="3"/>
      <c r="CK52" s="3"/>
      <c r="CL52" s="3"/>
      <c r="CM52" s="3"/>
      <c r="CN52" s="3"/>
      <c r="CO52" s="3"/>
      <c r="CP52" s="3"/>
    </row>
    <row r="53" spans="1:94">
      <c r="A53" s="3">
        <v>56032</v>
      </c>
      <c r="B53" s="4" t="s">
        <v>1451</v>
      </c>
      <c r="C53" s="4" t="s">
        <v>18</v>
      </c>
      <c r="D53" s="4" t="s">
        <v>306</v>
      </c>
      <c r="E53" s="4" t="s">
        <v>307</v>
      </c>
      <c r="F53" s="4" t="s">
        <v>1379</v>
      </c>
      <c r="G53" s="4" t="s">
        <v>1380</v>
      </c>
      <c r="H53" s="4" t="s">
        <v>1381</v>
      </c>
      <c r="I53" s="4" t="s">
        <v>188</v>
      </c>
      <c r="J53" s="4" t="s">
        <v>1362</v>
      </c>
      <c r="K53" s="3">
        <v>57</v>
      </c>
      <c r="L53" s="4" t="s">
        <v>0</v>
      </c>
      <c r="M53" s="4" t="s">
        <v>118</v>
      </c>
      <c r="N53" s="5">
        <v>2289.7600000000002</v>
      </c>
      <c r="O53" s="6">
        <v>40852</v>
      </c>
      <c r="P53" s="3"/>
      <c r="Q53" s="4" t="s">
        <v>2072</v>
      </c>
      <c r="R53" s="54">
        <v>4</v>
      </c>
      <c r="S53" s="69" t="s">
        <v>3060</v>
      </c>
      <c r="T53" s="55"/>
      <c r="U53" s="57">
        <v>2.85</v>
      </c>
      <c r="V53" s="55">
        <v>20</v>
      </c>
      <c r="W53" s="55">
        <v>40</v>
      </c>
      <c r="X53" s="58">
        <v>114</v>
      </c>
      <c r="Y53" s="54">
        <v>706</v>
      </c>
      <c r="Z53" s="69" t="s">
        <v>3061</v>
      </c>
      <c r="AA53" s="55"/>
      <c r="AB53" s="57">
        <v>1.43</v>
      </c>
      <c r="AC53" s="55">
        <v>20</v>
      </c>
      <c r="AD53" s="55">
        <v>40</v>
      </c>
      <c r="AE53" s="58">
        <v>57.2</v>
      </c>
      <c r="AF53" s="54"/>
      <c r="AG53" s="69"/>
      <c r="AH53" s="55"/>
      <c r="AI53" s="55"/>
      <c r="AJ53" s="55"/>
      <c r="AK53" s="55"/>
      <c r="AL53" s="56"/>
      <c r="AM53" s="54"/>
      <c r="AN53" s="69"/>
      <c r="AO53" s="55"/>
      <c r="AP53" s="55"/>
      <c r="AQ53" s="55"/>
      <c r="AR53" s="55"/>
      <c r="AS53" s="56"/>
      <c r="AT53" s="54"/>
      <c r="AU53" s="69"/>
      <c r="AV53" s="55"/>
      <c r="AW53" s="55"/>
      <c r="AX53" s="55"/>
      <c r="AY53" s="55"/>
      <c r="AZ53" s="56"/>
      <c r="BA53" s="65">
        <f t="shared" si="0"/>
        <v>171.2</v>
      </c>
      <c r="BB53" s="73">
        <f>VLOOKUP($C53,'REL. VT'!$C:Y,23,0)</f>
        <v>20</v>
      </c>
      <c r="BC53" s="74">
        <f>VLOOKUP($C53,'REL. VT'!$C:Z,24,0)</f>
        <v>2</v>
      </c>
      <c r="BD53" s="65">
        <f>VLOOKUP($C53,'REL. VT'!$C:AA,25,0)</f>
        <v>4.28</v>
      </c>
      <c r="BE53" s="97">
        <f>BB53*BC53*BD53</f>
        <v>171.20000000000002</v>
      </c>
      <c r="BF53" s="73"/>
      <c r="BG53" s="74"/>
      <c r="BH53" s="65"/>
      <c r="BI53" s="94"/>
      <c r="BJ53" s="73"/>
      <c r="BK53" s="74"/>
      <c r="BL53" s="65"/>
      <c r="BM53" s="94"/>
      <c r="BN53" s="65">
        <f t="shared" si="1"/>
        <v>171.20000000000002</v>
      </c>
      <c r="BO53" s="65" t="b">
        <f t="shared" si="2"/>
        <v>1</v>
      </c>
      <c r="BP53" s="70" t="s">
        <v>708</v>
      </c>
      <c r="BQ53" s="69" t="s">
        <v>1172</v>
      </c>
      <c r="BR53" s="55">
        <v>20</v>
      </c>
      <c r="BS53" s="57">
        <v>9.8000000000000007</v>
      </c>
      <c r="BT53" s="98">
        <v>196</v>
      </c>
      <c r="BU53" s="70" t="s">
        <v>3134</v>
      </c>
      <c r="BV53" s="69" t="s">
        <v>3135</v>
      </c>
      <c r="BW53" s="57">
        <v>0.01</v>
      </c>
      <c r="BX53" s="55"/>
      <c r="BY53" s="55">
        <v>1</v>
      </c>
      <c r="BZ53" s="58">
        <v>0.01</v>
      </c>
      <c r="CA53" s="70"/>
      <c r="CB53" s="69"/>
      <c r="CC53" s="55"/>
      <c r="CD53" s="55"/>
      <c r="CE53" s="55"/>
      <c r="CF53" s="56"/>
      <c r="CG53" s="5">
        <v>137.38999999999999</v>
      </c>
      <c r="CH53" s="5">
        <v>39.200000000000003</v>
      </c>
      <c r="CI53" s="3"/>
      <c r="CJ53" s="3"/>
      <c r="CK53" s="3"/>
      <c r="CL53" s="3"/>
      <c r="CM53" s="3"/>
      <c r="CN53" s="3"/>
      <c r="CO53" s="3"/>
      <c r="CP53" s="3"/>
    </row>
    <row r="54" spans="1:94">
      <c r="A54" s="3">
        <v>56002</v>
      </c>
      <c r="B54" s="4" t="s">
        <v>1452</v>
      </c>
      <c r="C54" s="4" t="s">
        <v>19</v>
      </c>
      <c r="D54" s="4" t="s">
        <v>2997</v>
      </c>
      <c r="E54" s="4" t="s">
        <v>1277</v>
      </c>
      <c r="F54" s="4" t="s">
        <v>2996</v>
      </c>
      <c r="G54" s="4" t="s">
        <v>2999</v>
      </c>
      <c r="H54" s="4" t="s">
        <v>3000</v>
      </c>
      <c r="I54" s="4" t="s">
        <v>188</v>
      </c>
      <c r="J54" s="4" t="s">
        <v>1362</v>
      </c>
      <c r="K54" s="3">
        <v>57</v>
      </c>
      <c r="L54" s="4" t="s">
        <v>0</v>
      </c>
      <c r="M54" s="4" t="s">
        <v>167</v>
      </c>
      <c r="N54" s="5">
        <v>2289.7600000000002</v>
      </c>
      <c r="O54" s="6">
        <v>40852</v>
      </c>
      <c r="P54" s="3"/>
      <c r="Q54" s="4" t="s">
        <v>2072</v>
      </c>
      <c r="R54" s="54"/>
      <c r="S54" s="69"/>
      <c r="T54" s="55"/>
      <c r="U54" s="55"/>
      <c r="V54" s="55"/>
      <c r="W54" s="55"/>
      <c r="X54" s="56"/>
      <c r="Y54" s="54"/>
      <c r="Z54" s="69"/>
      <c r="AA54" s="55"/>
      <c r="AB54" s="55"/>
      <c r="AC54" s="55"/>
      <c r="AD54" s="55"/>
      <c r="AE54" s="56"/>
      <c r="AF54" s="54"/>
      <c r="AG54" s="69"/>
      <c r="AH54" s="55"/>
      <c r="AI54" s="55"/>
      <c r="AJ54" s="55"/>
      <c r="AK54" s="55"/>
      <c r="AL54" s="56"/>
      <c r="AM54" s="54"/>
      <c r="AN54" s="69"/>
      <c r="AO54" s="55"/>
      <c r="AP54" s="55"/>
      <c r="AQ54" s="55"/>
      <c r="AR54" s="55"/>
      <c r="AS54" s="56"/>
      <c r="AT54" s="54"/>
      <c r="AU54" s="69"/>
      <c r="AV54" s="55"/>
      <c r="AW54" s="55"/>
      <c r="AX54" s="55"/>
      <c r="AY54" s="55"/>
      <c r="AZ54" s="56"/>
      <c r="BA54" s="65">
        <f t="shared" si="0"/>
        <v>0</v>
      </c>
      <c r="BB54" s="73"/>
      <c r="BC54" s="74"/>
      <c r="BD54" s="65"/>
      <c r="BE54" s="94"/>
      <c r="BF54" s="73"/>
      <c r="BG54" s="74"/>
      <c r="BH54" s="65"/>
      <c r="BI54" s="94"/>
      <c r="BJ54" s="73"/>
      <c r="BK54" s="74"/>
      <c r="BL54" s="65"/>
      <c r="BM54" s="94"/>
      <c r="BN54" s="65">
        <f t="shared" si="1"/>
        <v>0</v>
      </c>
      <c r="BO54" s="65" t="b">
        <f t="shared" si="2"/>
        <v>1</v>
      </c>
      <c r="BP54" s="70" t="s">
        <v>708</v>
      </c>
      <c r="BQ54" s="69" t="s">
        <v>1172</v>
      </c>
      <c r="BR54" s="55">
        <v>20</v>
      </c>
      <c r="BS54" s="57">
        <v>9.8000000000000007</v>
      </c>
      <c r="BT54" s="98">
        <v>196</v>
      </c>
      <c r="BU54" s="70" t="s">
        <v>3134</v>
      </c>
      <c r="BV54" s="69" t="s">
        <v>3135</v>
      </c>
      <c r="BW54" s="57">
        <v>0.01</v>
      </c>
      <c r="BX54" s="55"/>
      <c r="BY54" s="55">
        <v>1</v>
      </c>
      <c r="BZ54" s="58">
        <v>0.01</v>
      </c>
      <c r="CA54" s="70"/>
      <c r="CB54" s="69"/>
      <c r="CC54" s="55"/>
      <c r="CD54" s="55"/>
      <c r="CE54" s="55"/>
      <c r="CF54" s="56"/>
      <c r="CG54" s="3"/>
      <c r="CH54" s="5">
        <v>39.200000000000003</v>
      </c>
      <c r="CI54" s="3"/>
      <c r="CJ54" s="3"/>
      <c r="CK54" s="3"/>
      <c r="CL54" s="3"/>
      <c r="CM54" s="3"/>
      <c r="CN54" s="3"/>
      <c r="CO54" s="3"/>
      <c r="CP54" s="3"/>
    </row>
    <row r="55" spans="1:94">
      <c r="A55" s="3">
        <v>57055</v>
      </c>
      <c r="B55" s="4" t="s">
        <v>1454</v>
      </c>
      <c r="C55" s="4" t="s">
        <v>20</v>
      </c>
      <c r="D55" s="4" t="s">
        <v>306</v>
      </c>
      <c r="E55" s="4" t="s">
        <v>307</v>
      </c>
      <c r="F55" s="4" t="s">
        <v>1379</v>
      </c>
      <c r="G55" s="4" t="s">
        <v>1380</v>
      </c>
      <c r="H55" s="4" t="s">
        <v>1381</v>
      </c>
      <c r="I55" s="4" t="s">
        <v>188</v>
      </c>
      <c r="J55" s="4" t="s">
        <v>1362</v>
      </c>
      <c r="K55" s="3">
        <v>57</v>
      </c>
      <c r="L55" s="4" t="s">
        <v>0</v>
      </c>
      <c r="M55" s="4" t="s">
        <v>118</v>
      </c>
      <c r="N55" s="5">
        <v>2289.7600000000002</v>
      </c>
      <c r="O55" s="6">
        <v>40917</v>
      </c>
      <c r="P55" s="3"/>
      <c r="Q55" s="4" t="s">
        <v>2072</v>
      </c>
      <c r="R55" s="54"/>
      <c r="S55" s="69"/>
      <c r="T55" s="55"/>
      <c r="U55" s="55"/>
      <c r="V55" s="55"/>
      <c r="W55" s="55"/>
      <c r="X55" s="56"/>
      <c r="Y55" s="54"/>
      <c r="Z55" s="69"/>
      <c r="AA55" s="55"/>
      <c r="AB55" s="55"/>
      <c r="AC55" s="55"/>
      <c r="AD55" s="55"/>
      <c r="AE55" s="56"/>
      <c r="AF55" s="54"/>
      <c r="AG55" s="69"/>
      <c r="AH55" s="55"/>
      <c r="AI55" s="55"/>
      <c r="AJ55" s="55"/>
      <c r="AK55" s="55"/>
      <c r="AL55" s="56"/>
      <c r="AM55" s="54"/>
      <c r="AN55" s="69"/>
      <c r="AO55" s="55"/>
      <c r="AP55" s="55"/>
      <c r="AQ55" s="55"/>
      <c r="AR55" s="55"/>
      <c r="AS55" s="56"/>
      <c r="AT55" s="54"/>
      <c r="AU55" s="69"/>
      <c r="AV55" s="55"/>
      <c r="AW55" s="55"/>
      <c r="AX55" s="55"/>
      <c r="AY55" s="55"/>
      <c r="AZ55" s="56"/>
      <c r="BA55" s="65">
        <f t="shared" si="0"/>
        <v>0</v>
      </c>
      <c r="BB55" s="73"/>
      <c r="BC55" s="74"/>
      <c r="BD55" s="65"/>
      <c r="BE55" s="94"/>
      <c r="BF55" s="73"/>
      <c r="BG55" s="74"/>
      <c r="BH55" s="65"/>
      <c r="BI55" s="94"/>
      <c r="BJ55" s="73"/>
      <c r="BK55" s="74"/>
      <c r="BL55" s="65"/>
      <c r="BM55" s="94"/>
      <c r="BN55" s="65">
        <f t="shared" si="1"/>
        <v>0</v>
      </c>
      <c r="BO55" s="65" t="b">
        <f t="shared" si="2"/>
        <v>1</v>
      </c>
      <c r="BP55" s="70" t="s">
        <v>708</v>
      </c>
      <c r="BQ55" s="69" t="s">
        <v>1172</v>
      </c>
      <c r="BR55" s="55">
        <v>20</v>
      </c>
      <c r="BS55" s="57">
        <v>9.8000000000000007</v>
      </c>
      <c r="BT55" s="98">
        <v>196</v>
      </c>
      <c r="BU55" s="70" t="s">
        <v>3134</v>
      </c>
      <c r="BV55" s="69" t="s">
        <v>3135</v>
      </c>
      <c r="BW55" s="57">
        <v>0.01</v>
      </c>
      <c r="BX55" s="55"/>
      <c r="BY55" s="55">
        <v>1</v>
      </c>
      <c r="BZ55" s="58">
        <v>0.01</v>
      </c>
      <c r="CA55" s="70"/>
      <c r="CB55" s="69"/>
      <c r="CC55" s="55"/>
      <c r="CD55" s="55"/>
      <c r="CE55" s="55"/>
      <c r="CF55" s="56"/>
      <c r="CG55" s="3"/>
      <c r="CH55" s="5">
        <v>39.200000000000003</v>
      </c>
      <c r="CI55" s="3"/>
      <c r="CJ55" s="3"/>
      <c r="CK55" s="3"/>
      <c r="CL55" s="3"/>
      <c r="CM55" s="3"/>
      <c r="CN55" s="3"/>
      <c r="CO55" s="3"/>
      <c r="CP55" s="3"/>
    </row>
    <row r="56" spans="1:94">
      <c r="A56" s="3">
        <v>57056</v>
      </c>
      <c r="B56" s="4" t="s">
        <v>1455</v>
      </c>
      <c r="C56" s="4" t="s">
        <v>21</v>
      </c>
      <c r="D56" s="4" t="s">
        <v>306</v>
      </c>
      <c r="E56" s="4" t="s">
        <v>307</v>
      </c>
      <c r="F56" s="4" t="s">
        <v>1379</v>
      </c>
      <c r="G56" s="4" t="s">
        <v>1380</v>
      </c>
      <c r="H56" s="4" t="s">
        <v>1381</v>
      </c>
      <c r="I56" s="4" t="s">
        <v>188</v>
      </c>
      <c r="J56" s="4" t="s">
        <v>1362</v>
      </c>
      <c r="K56" s="3">
        <v>57</v>
      </c>
      <c r="L56" s="4" t="s">
        <v>0</v>
      </c>
      <c r="M56" s="4" t="s">
        <v>118</v>
      </c>
      <c r="N56" s="5">
        <v>2289.7600000000002</v>
      </c>
      <c r="O56" s="6">
        <v>40917</v>
      </c>
      <c r="P56" s="3"/>
      <c r="Q56" s="4" t="s">
        <v>2072</v>
      </c>
      <c r="R56" s="54">
        <v>18</v>
      </c>
      <c r="S56" s="69" t="s">
        <v>3046</v>
      </c>
      <c r="T56" s="55"/>
      <c r="U56" s="57">
        <v>4.5</v>
      </c>
      <c r="V56" s="55">
        <v>13</v>
      </c>
      <c r="W56" s="55">
        <v>26</v>
      </c>
      <c r="X56" s="58">
        <v>117</v>
      </c>
      <c r="Y56" s="54"/>
      <c r="Z56" s="69"/>
      <c r="AA56" s="55"/>
      <c r="AB56" s="55"/>
      <c r="AC56" s="55"/>
      <c r="AD56" s="55"/>
      <c r="AE56" s="56"/>
      <c r="AF56" s="54"/>
      <c r="AG56" s="69"/>
      <c r="AH56" s="55"/>
      <c r="AI56" s="55"/>
      <c r="AJ56" s="55"/>
      <c r="AK56" s="55"/>
      <c r="AL56" s="56"/>
      <c r="AM56" s="54"/>
      <c r="AN56" s="69"/>
      <c r="AO56" s="55"/>
      <c r="AP56" s="55"/>
      <c r="AQ56" s="55"/>
      <c r="AR56" s="55"/>
      <c r="AS56" s="56"/>
      <c r="AT56" s="54"/>
      <c r="AU56" s="69"/>
      <c r="AV56" s="55"/>
      <c r="AW56" s="55"/>
      <c r="AX56" s="55"/>
      <c r="AY56" s="55"/>
      <c r="AZ56" s="56"/>
      <c r="BA56" s="65">
        <f t="shared" si="0"/>
        <v>117</v>
      </c>
      <c r="BB56" s="73"/>
      <c r="BC56" s="74"/>
      <c r="BD56" s="65"/>
      <c r="BE56" s="94"/>
      <c r="BF56" s="73">
        <f>VLOOKUP($C56,'REL. VT'!$C:AF,30,0)</f>
        <v>13</v>
      </c>
      <c r="BG56" s="74">
        <f>VLOOKUP($C56,'REL. VT'!$C:AG,31,0)</f>
        <v>2</v>
      </c>
      <c r="BH56" s="65">
        <f>VLOOKUP($C56,'REL. VT'!$C:AH,32,0)</f>
        <v>4.5</v>
      </c>
      <c r="BI56" s="97">
        <f>BF56*BG56*BH56</f>
        <v>117</v>
      </c>
      <c r="BJ56" s="73"/>
      <c r="BK56" s="74"/>
      <c r="BL56" s="65"/>
      <c r="BM56" s="94"/>
      <c r="BN56" s="65">
        <f t="shared" si="1"/>
        <v>117</v>
      </c>
      <c r="BO56" s="65" t="b">
        <f t="shared" si="2"/>
        <v>1</v>
      </c>
      <c r="BP56" s="70" t="s">
        <v>708</v>
      </c>
      <c r="BQ56" s="69" t="s">
        <v>1172</v>
      </c>
      <c r="BR56" s="55">
        <v>20</v>
      </c>
      <c r="BS56" s="57">
        <v>9.8000000000000007</v>
      </c>
      <c r="BT56" s="98">
        <v>196</v>
      </c>
      <c r="BU56" s="70" t="s">
        <v>3134</v>
      </c>
      <c r="BV56" s="69" t="s">
        <v>3135</v>
      </c>
      <c r="BW56" s="57">
        <v>0.01</v>
      </c>
      <c r="BX56" s="55"/>
      <c r="BY56" s="55">
        <v>1</v>
      </c>
      <c r="BZ56" s="58">
        <v>0.01</v>
      </c>
      <c r="CA56" s="70"/>
      <c r="CB56" s="69"/>
      <c r="CC56" s="55"/>
      <c r="CD56" s="55"/>
      <c r="CE56" s="55"/>
      <c r="CF56" s="56"/>
      <c r="CG56" s="5">
        <v>117</v>
      </c>
      <c r="CH56" s="5">
        <v>39.200000000000003</v>
      </c>
      <c r="CI56" s="3"/>
      <c r="CJ56" s="3"/>
      <c r="CK56" s="3"/>
      <c r="CL56" s="3"/>
      <c r="CM56" s="3"/>
      <c r="CN56" s="3"/>
      <c r="CO56" s="3"/>
      <c r="CP56" s="3"/>
    </row>
    <row r="57" spans="1:94">
      <c r="A57" s="3">
        <v>66105</v>
      </c>
      <c r="B57" s="4" t="s">
        <v>1456</v>
      </c>
      <c r="C57" s="4" t="s">
        <v>1316</v>
      </c>
      <c r="D57" s="4" t="s">
        <v>306</v>
      </c>
      <c r="E57" s="4" t="s">
        <v>307</v>
      </c>
      <c r="F57" s="4" t="s">
        <v>1379</v>
      </c>
      <c r="G57" s="4" t="s">
        <v>1380</v>
      </c>
      <c r="H57" s="4" t="s">
        <v>1381</v>
      </c>
      <c r="I57" s="4" t="s">
        <v>188</v>
      </c>
      <c r="J57" s="4" t="s">
        <v>1362</v>
      </c>
      <c r="K57" s="3">
        <v>57</v>
      </c>
      <c r="L57" s="4" t="s">
        <v>0</v>
      </c>
      <c r="M57" s="4" t="s">
        <v>118</v>
      </c>
      <c r="N57" s="5">
        <v>2289.7600000000002</v>
      </c>
      <c r="O57" s="6">
        <v>41386</v>
      </c>
      <c r="P57" s="3"/>
      <c r="Q57" s="4" t="s">
        <v>2072</v>
      </c>
      <c r="R57" s="54"/>
      <c r="S57" s="69"/>
      <c r="T57" s="55"/>
      <c r="U57" s="55"/>
      <c r="V57" s="55"/>
      <c r="W57" s="55"/>
      <c r="X57" s="56"/>
      <c r="Y57" s="54"/>
      <c r="Z57" s="69"/>
      <c r="AA57" s="55"/>
      <c r="AB57" s="55"/>
      <c r="AC57" s="55"/>
      <c r="AD57" s="55"/>
      <c r="AE57" s="56"/>
      <c r="AF57" s="54"/>
      <c r="AG57" s="69"/>
      <c r="AH57" s="55"/>
      <c r="AI57" s="55"/>
      <c r="AJ57" s="55"/>
      <c r="AK57" s="55"/>
      <c r="AL57" s="56"/>
      <c r="AM57" s="54"/>
      <c r="AN57" s="69"/>
      <c r="AO57" s="55"/>
      <c r="AP57" s="55"/>
      <c r="AQ57" s="55"/>
      <c r="AR57" s="55"/>
      <c r="AS57" s="56"/>
      <c r="AT57" s="54"/>
      <c r="AU57" s="69"/>
      <c r="AV57" s="55"/>
      <c r="AW57" s="55"/>
      <c r="AX57" s="55"/>
      <c r="AY57" s="55"/>
      <c r="AZ57" s="56"/>
      <c r="BA57" s="65">
        <f t="shared" si="0"/>
        <v>0</v>
      </c>
      <c r="BB57" s="73"/>
      <c r="BC57" s="74"/>
      <c r="BD57" s="65"/>
      <c r="BE57" s="94"/>
      <c r="BF57" s="73"/>
      <c r="BG57" s="74"/>
      <c r="BH57" s="65"/>
      <c r="BI57" s="94"/>
      <c r="BJ57" s="73"/>
      <c r="BK57" s="74"/>
      <c r="BL57" s="65"/>
      <c r="BM57" s="94"/>
      <c r="BN57" s="65">
        <f t="shared" si="1"/>
        <v>0</v>
      </c>
      <c r="BO57" s="65" t="b">
        <f t="shared" si="2"/>
        <v>1</v>
      </c>
      <c r="BP57" s="70" t="s">
        <v>708</v>
      </c>
      <c r="BQ57" s="69" t="s">
        <v>1172</v>
      </c>
      <c r="BR57" s="55">
        <v>20</v>
      </c>
      <c r="BS57" s="57">
        <v>9.8000000000000007</v>
      </c>
      <c r="BT57" s="98">
        <v>196</v>
      </c>
      <c r="BU57" s="70" t="s">
        <v>3134</v>
      </c>
      <c r="BV57" s="69" t="s">
        <v>3135</v>
      </c>
      <c r="BW57" s="57">
        <v>0.01</v>
      </c>
      <c r="BX57" s="55"/>
      <c r="BY57" s="55">
        <v>1</v>
      </c>
      <c r="BZ57" s="58">
        <v>0.01</v>
      </c>
      <c r="CA57" s="70"/>
      <c r="CB57" s="69"/>
      <c r="CC57" s="55"/>
      <c r="CD57" s="55"/>
      <c r="CE57" s="55"/>
      <c r="CF57" s="56"/>
      <c r="CG57" s="3"/>
      <c r="CH57" s="5">
        <v>39.200000000000003</v>
      </c>
      <c r="CI57" s="3"/>
      <c r="CJ57" s="3"/>
      <c r="CK57" s="3"/>
      <c r="CL57" s="3"/>
      <c r="CM57" s="3"/>
      <c r="CN57" s="3"/>
      <c r="CO57" s="3"/>
      <c r="CP57" s="3"/>
    </row>
    <row r="58" spans="1:94">
      <c r="A58" s="3">
        <v>63703</v>
      </c>
      <c r="B58" s="4" t="s">
        <v>1457</v>
      </c>
      <c r="C58" s="4" t="s">
        <v>62</v>
      </c>
      <c r="D58" s="4" t="s">
        <v>194</v>
      </c>
      <c r="E58" s="4" t="s">
        <v>195</v>
      </c>
      <c r="F58" s="4" t="s">
        <v>1375</v>
      </c>
      <c r="G58" s="4" t="s">
        <v>1376</v>
      </c>
      <c r="H58" s="4" t="s">
        <v>1377</v>
      </c>
      <c r="I58" s="4" t="s">
        <v>188</v>
      </c>
      <c r="J58" s="4" t="s">
        <v>1362</v>
      </c>
      <c r="K58" s="3">
        <v>57</v>
      </c>
      <c r="L58" s="4" t="s">
        <v>0</v>
      </c>
      <c r="M58" s="4" t="s">
        <v>183</v>
      </c>
      <c r="N58" s="5">
        <v>2361.92</v>
      </c>
      <c r="O58" s="6">
        <v>41257</v>
      </c>
      <c r="P58" s="3"/>
      <c r="Q58" s="4" t="s">
        <v>2072</v>
      </c>
      <c r="R58" s="54"/>
      <c r="S58" s="69"/>
      <c r="T58" s="55"/>
      <c r="U58" s="55"/>
      <c r="V58" s="55"/>
      <c r="W58" s="55"/>
      <c r="X58" s="56"/>
      <c r="Y58" s="54"/>
      <c r="Z58" s="69"/>
      <c r="AA58" s="55"/>
      <c r="AB58" s="55"/>
      <c r="AC58" s="55"/>
      <c r="AD58" s="55"/>
      <c r="AE58" s="56"/>
      <c r="AF58" s="54"/>
      <c r="AG58" s="69"/>
      <c r="AH58" s="55"/>
      <c r="AI58" s="55"/>
      <c r="AJ58" s="55"/>
      <c r="AK58" s="55"/>
      <c r="AL58" s="56"/>
      <c r="AM58" s="54"/>
      <c r="AN58" s="69"/>
      <c r="AO58" s="55"/>
      <c r="AP58" s="55"/>
      <c r="AQ58" s="55"/>
      <c r="AR58" s="55"/>
      <c r="AS58" s="56"/>
      <c r="AT58" s="54"/>
      <c r="AU58" s="69"/>
      <c r="AV58" s="55"/>
      <c r="AW58" s="55"/>
      <c r="AX58" s="55"/>
      <c r="AY58" s="55"/>
      <c r="AZ58" s="56"/>
      <c r="BA58" s="65">
        <f t="shared" si="0"/>
        <v>0</v>
      </c>
      <c r="BB58" s="73"/>
      <c r="BC58" s="74"/>
      <c r="BD58" s="65"/>
      <c r="BE58" s="94"/>
      <c r="BF58" s="73"/>
      <c r="BG58" s="74"/>
      <c r="BH58" s="65"/>
      <c r="BI58" s="94"/>
      <c r="BJ58" s="73"/>
      <c r="BK58" s="74"/>
      <c r="BL58" s="65"/>
      <c r="BM58" s="94"/>
      <c r="BN58" s="65">
        <f t="shared" si="1"/>
        <v>0</v>
      </c>
      <c r="BO58" s="65" t="b">
        <f t="shared" si="2"/>
        <v>1</v>
      </c>
      <c r="BP58" s="70" t="s">
        <v>708</v>
      </c>
      <c r="BQ58" s="69" t="s">
        <v>1172</v>
      </c>
      <c r="BR58" s="55">
        <v>21</v>
      </c>
      <c r="BS58" s="57">
        <v>10.68</v>
      </c>
      <c r="BT58" s="98">
        <v>224.28</v>
      </c>
      <c r="BU58" s="70" t="s">
        <v>3134</v>
      </c>
      <c r="BV58" s="69" t="s">
        <v>3135</v>
      </c>
      <c r="BW58" s="57">
        <v>0.01</v>
      </c>
      <c r="BX58" s="55"/>
      <c r="BY58" s="55">
        <v>1</v>
      </c>
      <c r="BZ58" s="58">
        <v>0.01</v>
      </c>
      <c r="CA58" s="70"/>
      <c r="CB58" s="69"/>
      <c r="CC58" s="55"/>
      <c r="CD58" s="55"/>
      <c r="CE58" s="55"/>
      <c r="CF58" s="56"/>
      <c r="CG58" s="3"/>
      <c r="CH58" s="5">
        <v>44.86</v>
      </c>
      <c r="CI58" s="3"/>
      <c r="CJ58" s="3"/>
      <c r="CK58" s="3"/>
      <c r="CL58" s="3"/>
      <c r="CM58" s="3"/>
      <c r="CN58" s="3"/>
      <c r="CO58" s="3"/>
      <c r="CP58" s="3"/>
    </row>
    <row r="59" spans="1:94">
      <c r="A59" s="3">
        <v>56040</v>
      </c>
      <c r="B59" s="4" t="s">
        <v>1458</v>
      </c>
      <c r="C59" s="4" t="s">
        <v>22</v>
      </c>
      <c r="D59" s="4" t="s">
        <v>306</v>
      </c>
      <c r="E59" s="4" t="s">
        <v>307</v>
      </c>
      <c r="F59" s="4" t="s">
        <v>1379</v>
      </c>
      <c r="G59" s="4" t="s">
        <v>1380</v>
      </c>
      <c r="H59" s="4" t="s">
        <v>1381</v>
      </c>
      <c r="I59" s="4" t="s">
        <v>188</v>
      </c>
      <c r="J59" s="4" t="s">
        <v>1362</v>
      </c>
      <c r="K59" s="3">
        <v>57</v>
      </c>
      <c r="L59" s="4" t="s">
        <v>0</v>
      </c>
      <c r="M59" s="4" t="s">
        <v>118</v>
      </c>
      <c r="N59" s="5">
        <v>2289.7600000000002</v>
      </c>
      <c r="O59" s="6">
        <v>40852</v>
      </c>
      <c r="P59" s="3"/>
      <c r="Q59" s="4" t="s">
        <v>2072</v>
      </c>
      <c r="R59" s="54"/>
      <c r="S59" s="69"/>
      <c r="T59" s="55"/>
      <c r="U59" s="55"/>
      <c r="V59" s="55"/>
      <c r="W59" s="55"/>
      <c r="X59" s="56"/>
      <c r="Y59" s="54"/>
      <c r="Z59" s="69"/>
      <c r="AA59" s="55"/>
      <c r="AB59" s="55"/>
      <c r="AC59" s="55"/>
      <c r="AD59" s="55"/>
      <c r="AE59" s="56"/>
      <c r="AF59" s="54"/>
      <c r="AG59" s="69"/>
      <c r="AH59" s="55"/>
      <c r="AI59" s="55"/>
      <c r="AJ59" s="55"/>
      <c r="AK59" s="55"/>
      <c r="AL59" s="56"/>
      <c r="AM59" s="54"/>
      <c r="AN59" s="69"/>
      <c r="AO59" s="55"/>
      <c r="AP59" s="55"/>
      <c r="AQ59" s="55"/>
      <c r="AR59" s="55"/>
      <c r="AS59" s="56"/>
      <c r="AT59" s="54"/>
      <c r="AU59" s="69"/>
      <c r="AV59" s="55"/>
      <c r="AW59" s="55"/>
      <c r="AX59" s="55"/>
      <c r="AY59" s="55"/>
      <c r="AZ59" s="56"/>
      <c r="BA59" s="65">
        <f t="shared" si="0"/>
        <v>0</v>
      </c>
      <c r="BB59" s="73"/>
      <c r="BC59" s="74"/>
      <c r="BD59" s="65"/>
      <c r="BE59" s="94"/>
      <c r="BF59" s="73"/>
      <c r="BG59" s="74"/>
      <c r="BH59" s="65"/>
      <c r="BI59" s="94"/>
      <c r="BJ59" s="73"/>
      <c r="BK59" s="74"/>
      <c r="BL59" s="65"/>
      <c r="BM59" s="94"/>
      <c r="BN59" s="65">
        <f t="shared" si="1"/>
        <v>0</v>
      </c>
      <c r="BO59" s="65" t="b">
        <f t="shared" si="2"/>
        <v>1</v>
      </c>
      <c r="BP59" s="70" t="s">
        <v>708</v>
      </c>
      <c r="BQ59" s="69" t="s">
        <v>1172</v>
      </c>
      <c r="BR59" s="55">
        <v>20</v>
      </c>
      <c r="BS59" s="57">
        <v>9.8000000000000007</v>
      </c>
      <c r="BT59" s="98">
        <v>196</v>
      </c>
      <c r="BU59" s="70" t="s">
        <v>3134</v>
      </c>
      <c r="BV59" s="69" t="s">
        <v>3135</v>
      </c>
      <c r="BW59" s="57">
        <v>0.01</v>
      </c>
      <c r="BX59" s="55"/>
      <c r="BY59" s="55">
        <v>1</v>
      </c>
      <c r="BZ59" s="58">
        <v>0.01</v>
      </c>
      <c r="CA59" s="70"/>
      <c r="CB59" s="69"/>
      <c r="CC59" s="55"/>
      <c r="CD59" s="55"/>
      <c r="CE59" s="55"/>
      <c r="CF59" s="56"/>
      <c r="CG59" s="3"/>
      <c r="CH59" s="5">
        <v>39.200000000000003</v>
      </c>
      <c r="CI59" s="3"/>
      <c r="CJ59" s="3"/>
      <c r="CK59" s="3"/>
      <c r="CL59" s="3"/>
      <c r="CM59" s="3"/>
      <c r="CN59" s="3"/>
      <c r="CO59" s="3"/>
      <c r="CP59" s="3"/>
    </row>
    <row r="60" spans="1:94">
      <c r="A60" s="3">
        <v>56127</v>
      </c>
      <c r="B60" s="4" t="s">
        <v>1459</v>
      </c>
      <c r="C60" s="4" t="s">
        <v>71</v>
      </c>
      <c r="D60" s="4" t="s">
        <v>795</v>
      </c>
      <c r="E60" s="4" t="s">
        <v>796</v>
      </c>
      <c r="F60" s="4" t="s">
        <v>1460</v>
      </c>
      <c r="G60" s="4" t="s">
        <v>1461</v>
      </c>
      <c r="H60" s="4" t="s">
        <v>1462</v>
      </c>
      <c r="I60" s="4" t="s">
        <v>188</v>
      </c>
      <c r="J60" s="4" t="s">
        <v>1362</v>
      </c>
      <c r="K60" s="3">
        <v>57</v>
      </c>
      <c r="L60" s="4" t="s">
        <v>0</v>
      </c>
      <c r="M60" s="4" t="s">
        <v>1208</v>
      </c>
      <c r="N60" s="5">
        <v>2110.38</v>
      </c>
      <c r="O60" s="6">
        <v>40852</v>
      </c>
      <c r="P60" s="3"/>
      <c r="Q60" s="4" t="s">
        <v>2072</v>
      </c>
      <c r="R60" s="54"/>
      <c r="S60" s="69"/>
      <c r="T60" s="55"/>
      <c r="U60" s="55"/>
      <c r="V60" s="55"/>
      <c r="W60" s="55"/>
      <c r="X60" s="56"/>
      <c r="Y60" s="54"/>
      <c r="Z60" s="69"/>
      <c r="AA60" s="55"/>
      <c r="AB60" s="55"/>
      <c r="AC60" s="55"/>
      <c r="AD60" s="55"/>
      <c r="AE60" s="56"/>
      <c r="AF60" s="54"/>
      <c r="AG60" s="69"/>
      <c r="AH60" s="55"/>
      <c r="AI60" s="55"/>
      <c r="AJ60" s="55"/>
      <c r="AK60" s="55"/>
      <c r="AL60" s="56"/>
      <c r="AM60" s="54"/>
      <c r="AN60" s="69"/>
      <c r="AO60" s="55"/>
      <c r="AP60" s="55"/>
      <c r="AQ60" s="55"/>
      <c r="AR60" s="55"/>
      <c r="AS60" s="56"/>
      <c r="AT60" s="54"/>
      <c r="AU60" s="69"/>
      <c r="AV60" s="55"/>
      <c r="AW60" s="55"/>
      <c r="AX60" s="55"/>
      <c r="AY60" s="55"/>
      <c r="AZ60" s="56"/>
      <c r="BA60" s="65">
        <f t="shared" si="0"/>
        <v>0</v>
      </c>
      <c r="BB60" s="73"/>
      <c r="BC60" s="74"/>
      <c r="BD60" s="65"/>
      <c r="BE60" s="94"/>
      <c r="BF60" s="73"/>
      <c r="BG60" s="74"/>
      <c r="BH60" s="65"/>
      <c r="BI60" s="94"/>
      <c r="BJ60" s="73"/>
      <c r="BK60" s="74"/>
      <c r="BL60" s="65"/>
      <c r="BM60" s="94"/>
      <c r="BN60" s="65">
        <f t="shared" si="1"/>
        <v>0</v>
      </c>
      <c r="BO60" s="65" t="b">
        <f t="shared" si="2"/>
        <v>1</v>
      </c>
      <c r="BP60" s="70" t="s">
        <v>708</v>
      </c>
      <c r="BQ60" s="69" t="s">
        <v>1172</v>
      </c>
      <c r="BR60" s="55">
        <v>19</v>
      </c>
      <c r="BS60" s="57">
        <v>9.8000000000000007</v>
      </c>
      <c r="BT60" s="98">
        <v>186.2</v>
      </c>
      <c r="BU60" s="70" t="s">
        <v>3134</v>
      </c>
      <c r="BV60" s="69" t="s">
        <v>3135</v>
      </c>
      <c r="BW60" s="57">
        <v>0.01</v>
      </c>
      <c r="BX60" s="55"/>
      <c r="BY60" s="55">
        <v>1</v>
      </c>
      <c r="BZ60" s="58">
        <v>0.01</v>
      </c>
      <c r="CA60" s="70"/>
      <c r="CB60" s="69"/>
      <c r="CC60" s="55"/>
      <c r="CD60" s="55"/>
      <c r="CE60" s="55"/>
      <c r="CF60" s="56"/>
      <c r="CG60" s="3"/>
      <c r="CH60" s="5">
        <v>37.24</v>
      </c>
      <c r="CI60" s="6">
        <v>41834</v>
      </c>
      <c r="CJ60" s="6">
        <v>41853</v>
      </c>
      <c r="CK60" s="3"/>
      <c r="CL60" s="3"/>
      <c r="CM60" s="3"/>
      <c r="CN60" s="3"/>
      <c r="CO60" s="3"/>
      <c r="CP60" s="3"/>
    </row>
    <row r="61" spans="1:94">
      <c r="A61" s="3">
        <v>56042</v>
      </c>
      <c r="B61" s="4" t="s">
        <v>1463</v>
      </c>
      <c r="C61" s="4" t="s">
        <v>52</v>
      </c>
      <c r="D61" s="4" t="s">
        <v>797</v>
      </c>
      <c r="E61" s="4" t="s">
        <v>798</v>
      </c>
      <c r="F61" s="4" t="s">
        <v>1464</v>
      </c>
      <c r="G61" s="4" t="s">
        <v>1465</v>
      </c>
      <c r="H61" s="4" t="s">
        <v>1466</v>
      </c>
      <c r="I61" s="4" t="s">
        <v>188</v>
      </c>
      <c r="J61" s="4" t="s">
        <v>1362</v>
      </c>
      <c r="K61" s="3">
        <v>57</v>
      </c>
      <c r="L61" s="4" t="s">
        <v>0</v>
      </c>
      <c r="M61" s="4" t="s">
        <v>278</v>
      </c>
      <c r="N61" s="5">
        <v>2110.38</v>
      </c>
      <c r="O61" s="6">
        <v>40852</v>
      </c>
      <c r="P61" s="3"/>
      <c r="Q61" s="4" t="s">
        <v>2072</v>
      </c>
      <c r="R61" s="54"/>
      <c r="S61" s="69"/>
      <c r="T61" s="55"/>
      <c r="U61" s="55"/>
      <c r="V61" s="55"/>
      <c r="W61" s="55"/>
      <c r="X61" s="56"/>
      <c r="Y61" s="54"/>
      <c r="Z61" s="69"/>
      <c r="AA61" s="55"/>
      <c r="AB61" s="55"/>
      <c r="AC61" s="55"/>
      <c r="AD61" s="55"/>
      <c r="AE61" s="56"/>
      <c r="AF61" s="54"/>
      <c r="AG61" s="69"/>
      <c r="AH61" s="55"/>
      <c r="AI61" s="55"/>
      <c r="AJ61" s="55"/>
      <c r="AK61" s="55"/>
      <c r="AL61" s="56"/>
      <c r="AM61" s="54"/>
      <c r="AN61" s="69"/>
      <c r="AO61" s="55"/>
      <c r="AP61" s="55"/>
      <c r="AQ61" s="55"/>
      <c r="AR61" s="55"/>
      <c r="AS61" s="56"/>
      <c r="AT61" s="54"/>
      <c r="AU61" s="69"/>
      <c r="AV61" s="55"/>
      <c r="AW61" s="55"/>
      <c r="AX61" s="55"/>
      <c r="AY61" s="55"/>
      <c r="AZ61" s="56"/>
      <c r="BA61" s="65">
        <f t="shared" si="0"/>
        <v>0</v>
      </c>
      <c r="BB61" s="73"/>
      <c r="BC61" s="74"/>
      <c r="BD61" s="65"/>
      <c r="BE61" s="94"/>
      <c r="BF61" s="73"/>
      <c r="BG61" s="74"/>
      <c r="BH61" s="65"/>
      <c r="BI61" s="94"/>
      <c r="BJ61" s="73"/>
      <c r="BK61" s="74"/>
      <c r="BL61" s="65"/>
      <c r="BM61" s="94"/>
      <c r="BN61" s="65">
        <f t="shared" si="1"/>
        <v>0</v>
      </c>
      <c r="BO61" s="65" t="b">
        <f t="shared" si="2"/>
        <v>1</v>
      </c>
      <c r="BP61" s="70" t="s">
        <v>708</v>
      </c>
      <c r="BQ61" s="69" t="s">
        <v>1172</v>
      </c>
      <c r="BR61" s="55">
        <v>21</v>
      </c>
      <c r="BS61" s="57">
        <v>9.8000000000000007</v>
      </c>
      <c r="BT61" s="98">
        <v>205.8</v>
      </c>
      <c r="BU61" s="70" t="s">
        <v>3134</v>
      </c>
      <c r="BV61" s="69" t="s">
        <v>3135</v>
      </c>
      <c r="BW61" s="57">
        <v>0.01</v>
      </c>
      <c r="BX61" s="55"/>
      <c r="BY61" s="55">
        <v>1</v>
      </c>
      <c r="BZ61" s="58">
        <v>0.01</v>
      </c>
      <c r="CA61" s="70"/>
      <c r="CB61" s="69"/>
      <c r="CC61" s="55"/>
      <c r="CD61" s="55"/>
      <c r="CE61" s="55"/>
      <c r="CF61" s="56"/>
      <c r="CG61" s="3"/>
      <c r="CH61" s="5">
        <v>41.16</v>
      </c>
      <c r="CI61" s="3"/>
      <c r="CJ61" s="3"/>
      <c r="CK61" s="3"/>
      <c r="CL61" s="3"/>
      <c r="CM61" s="3"/>
      <c r="CN61" s="3"/>
      <c r="CO61" s="3"/>
      <c r="CP61" s="3"/>
    </row>
    <row r="62" spans="1:94">
      <c r="A62" s="3">
        <v>56008</v>
      </c>
      <c r="B62" s="4" t="s">
        <v>1467</v>
      </c>
      <c r="C62" s="4" t="s">
        <v>23</v>
      </c>
      <c r="D62" s="4" t="s">
        <v>306</v>
      </c>
      <c r="E62" s="4" t="s">
        <v>307</v>
      </c>
      <c r="F62" s="4" t="s">
        <v>1379</v>
      </c>
      <c r="G62" s="4" t="s">
        <v>1380</v>
      </c>
      <c r="H62" s="4" t="s">
        <v>1381</v>
      </c>
      <c r="I62" s="4" t="s">
        <v>188</v>
      </c>
      <c r="J62" s="4" t="s">
        <v>1362</v>
      </c>
      <c r="K62" s="3">
        <v>57</v>
      </c>
      <c r="L62" s="4" t="s">
        <v>0</v>
      </c>
      <c r="M62" s="4" t="s">
        <v>118</v>
      </c>
      <c r="N62" s="5">
        <v>2289.7600000000002</v>
      </c>
      <c r="O62" s="6">
        <v>40852</v>
      </c>
      <c r="P62" s="3"/>
      <c r="Q62" s="4" t="s">
        <v>2072</v>
      </c>
      <c r="R62" s="54">
        <v>262</v>
      </c>
      <c r="S62" s="69" t="s">
        <v>3046</v>
      </c>
      <c r="T62" s="55"/>
      <c r="U62" s="57">
        <v>4.5</v>
      </c>
      <c r="V62" s="55">
        <v>20</v>
      </c>
      <c r="W62" s="55">
        <v>40</v>
      </c>
      <c r="X62" s="58">
        <v>180</v>
      </c>
      <c r="Y62" s="54"/>
      <c r="Z62" s="69"/>
      <c r="AA62" s="55"/>
      <c r="AB62" s="55"/>
      <c r="AC62" s="55"/>
      <c r="AD62" s="55"/>
      <c r="AE62" s="56"/>
      <c r="AF62" s="54"/>
      <c r="AG62" s="69"/>
      <c r="AH62" s="55"/>
      <c r="AI62" s="55"/>
      <c r="AJ62" s="55"/>
      <c r="AK62" s="55"/>
      <c r="AL62" s="56"/>
      <c r="AM62" s="54"/>
      <c r="AN62" s="69"/>
      <c r="AO62" s="55"/>
      <c r="AP62" s="55"/>
      <c r="AQ62" s="55"/>
      <c r="AR62" s="55"/>
      <c r="AS62" s="56"/>
      <c r="AT62" s="54"/>
      <c r="AU62" s="69"/>
      <c r="AV62" s="55"/>
      <c r="AW62" s="55"/>
      <c r="AX62" s="55"/>
      <c r="AY62" s="55"/>
      <c r="AZ62" s="56"/>
      <c r="BA62" s="65">
        <f t="shared" si="0"/>
        <v>180</v>
      </c>
      <c r="BB62" s="73"/>
      <c r="BC62" s="74"/>
      <c r="BD62" s="65"/>
      <c r="BE62" s="94"/>
      <c r="BF62" s="73">
        <f>VLOOKUP($C62,'REL. VT'!$C:AF,30,0)</f>
        <v>20</v>
      </c>
      <c r="BG62" s="74">
        <f>VLOOKUP($C62,'REL. VT'!$C:AG,31,0)</f>
        <v>2</v>
      </c>
      <c r="BH62" s="65">
        <f>VLOOKUP($C62,'REL. VT'!$C:AH,32,0)</f>
        <v>4.5</v>
      </c>
      <c r="BI62" s="97">
        <f>BF62*BG62*BH62</f>
        <v>180</v>
      </c>
      <c r="BJ62" s="73"/>
      <c r="BK62" s="74"/>
      <c r="BL62" s="65"/>
      <c r="BM62" s="94"/>
      <c r="BN62" s="65">
        <f t="shared" si="1"/>
        <v>180</v>
      </c>
      <c r="BO62" s="65" t="b">
        <f t="shared" si="2"/>
        <v>1</v>
      </c>
      <c r="BP62" s="70" t="s">
        <v>708</v>
      </c>
      <c r="BQ62" s="69" t="s">
        <v>1172</v>
      </c>
      <c r="BR62" s="55">
        <v>20</v>
      </c>
      <c r="BS62" s="57">
        <v>9.8000000000000007</v>
      </c>
      <c r="BT62" s="98">
        <v>196</v>
      </c>
      <c r="BU62" s="70" t="s">
        <v>3134</v>
      </c>
      <c r="BV62" s="69" t="s">
        <v>3135</v>
      </c>
      <c r="BW62" s="57">
        <v>0.01</v>
      </c>
      <c r="BX62" s="55"/>
      <c r="BY62" s="55">
        <v>1</v>
      </c>
      <c r="BZ62" s="58">
        <v>0.01</v>
      </c>
      <c r="CA62" s="70"/>
      <c r="CB62" s="69"/>
      <c r="CC62" s="55"/>
      <c r="CD62" s="55"/>
      <c r="CE62" s="55"/>
      <c r="CF62" s="56"/>
      <c r="CG62" s="5">
        <v>137.38999999999999</v>
      </c>
      <c r="CH62" s="5">
        <v>39.200000000000003</v>
      </c>
      <c r="CI62" s="3"/>
      <c r="CJ62" s="3"/>
      <c r="CK62" s="3"/>
      <c r="CL62" s="3"/>
      <c r="CM62" s="3"/>
      <c r="CN62" s="3"/>
      <c r="CO62" s="3"/>
      <c r="CP62" s="3"/>
    </row>
    <row r="63" spans="1:94">
      <c r="A63" s="3">
        <v>58061</v>
      </c>
      <c r="B63" s="4" t="s">
        <v>1468</v>
      </c>
      <c r="C63" s="4" t="s">
        <v>24</v>
      </c>
      <c r="D63" s="4" t="s">
        <v>306</v>
      </c>
      <c r="E63" s="4" t="s">
        <v>307</v>
      </c>
      <c r="F63" s="4" t="s">
        <v>1379</v>
      </c>
      <c r="G63" s="4" t="s">
        <v>1380</v>
      </c>
      <c r="H63" s="4" t="s">
        <v>1381</v>
      </c>
      <c r="I63" s="4" t="s">
        <v>188</v>
      </c>
      <c r="J63" s="4" t="s">
        <v>1362</v>
      </c>
      <c r="K63" s="3">
        <v>57</v>
      </c>
      <c r="L63" s="4" t="s">
        <v>0</v>
      </c>
      <c r="M63" s="4" t="s">
        <v>118</v>
      </c>
      <c r="N63" s="5">
        <v>2289.7600000000002</v>
      </c>
      <c r="O63" s="6">
        <v>40975</v>
      </c>
      <c r="P63" s="3"/>
      <c r="Q63" s="4" t="s">
        <v>2072</v>
      </c>
      <c r="R63" s="54">
        <v>2</v>
      </c>
      <c r="S63" s="69" t="s">
        <v>3062</v>
      </c>
      <c r="T63" s="55"/>
      <c r="U63" s="57">
        <v>2.0499999999999998</v>
      </c>
      <c r="V63" s="55">
        <v>10</v>
      </c>
      <c r="W63" s="55">
        <v>10</v>
      </c>
      <c r="X63" s="58">
        <v>20.5</v>
      </c>
      <c r="Y63" s="54">
        <v>4</v>
      </c>
      <c r="Z63" s="69" t="s">
        <v>3060</v>
      </c>
      <c r="AA63" s="55"/>
      <c r="AB63" s="57">
        <v>2.85</v>
      </c>
      <c r="AC63" s="55">
        <v>10</v>
      </c>
      <c r="AD63" s="55">
        <v>20</v>
      </c>
      <c r="AE63" s="58">
        <v>57</v>
      </c>
      <c r="AF63" s="54">
        <v>706</v>
      </c>
      <c r="AG63" s="69" t="s">
        <v>3061</v>
      </c>
      <c r="AH63" s="55"/>
      <c r="AI63" s="57">
        <v>1.43</v>
      </c>
      <c r="AJ63" s="55">
        <v>10</v>
      </c>
      <c r="AK63" s="55">
        <v>10</v>
      </c>
      <c r="AL63" s="58">
        <v>14.3</v>
      </c>
      <c r="AM63" s="54">
        <v>965</v>
      </c>
      <c r="AN63" s="69" t="s">
        <v>3063</v>
      </c>
      <c r="AO63" s="55"/>
      <c r="AP63" s="57">
        <v>0.8</v>
      </c>
      <c r="AQ63" s="55">
        <v>10</v>
      </c>
      <c r="AR63" s="55">
        <v>10</v>
      </c>
      <c r="AS63" s="58">
        <v>8</v>
      </c>
      <c r="AT63" s="54"/>
      <c r="AU63" s="69"/>
      <c r="AV63" s="55"/>
      <c r="AW63" s="55"/>
      <c r="AX63" s="55"/>
      <c r="AY63" s="55"/>
      <c r="AZ63" s="56"/>
      <c r="BA63" s="65">
        <f t="shared" si="0"/>
        <v>99.8</v>
      </c>
      <c r="BB63" s="73">
        <f>VLOOKUP($C63,'REL. VT'!$C:Y,23,0)</f>
        <v>10</v>
      </c>
      <c r="BC63" s="74">
        <f>VLOOKUP($C63,'REL. VT'!$C:Z,24,0)</f>
        <v>1</v>
      </c>
      <c r="BD63" s="65">
        <f>VLOOKUP($C63,'REL. VT'!$C:AA,25,0)</f>
        <v>9.98</v>
      </c>
      <c r="BE63" s="97">
        <f>BB63*BC63*BD63</f>
        <v>99.800000000000011</v>
      </c>
      <c r="BF63" s="73"/>
      <c r="BG63" s="74"/>
      <c r="BH63" s="65"/>
      <c r="BI63" s="94"/>
      <c r="BJ63" s="73"/>
      <c r="BK63" s="74"/>
      <c r="BL63" s="65"/>
      <c r="BM63" s="94"/>
      <c r="BN63" s="65">
        <f t="shared" si="1"/>
        <v>99.800000000000011</v>
      </c>
      <c r="BO63" s="65" t="b">
        <f t="shared" si="2"/>
        <v>1</v>
      </c>
      <c r="BP63" s="70" t="s">
        <v>708</v>
      </c>
      <c r="BQ63" s="69" t="s">
        <v>1172</v>
      </c>
      <c r="BR63" s="55">
        <v>20</v>
      </c>
      <c r="BS63" s="57">
        <v>9.8000000000000007</v>
      </c>
      <c r="BT63" s="98">
        <v>196</v>
      </c>
      <c r="BU63" s="70" t="s">
        <v>3134</v>
      </c>
      <c r="BV63" s="69" t="s">
        <v>3135</v>
      </c>
      <c r="BW63" s="57">
        <v>0.01</v>
      </c>
      <c r="BX63" s="55"/>
      <c r="BY63" s="55">
        <v>1</v>
      </c>
      <c r="BZ63" s="58">
        <v>0.01</v>
      </c>
      <c r="CA63" s="70"/>
      <c r="CB63" s="69"/>
      <c r="CC63" s="55"/>
      <c r="CD63" s="55"/>
      <c r="CE63" s="55"/>
      <c r="CF63" s="56"/>
      <c r="CG63" s="5">
        <v>99.8</v>
      </c>
      <c r="CH63" s="5">
        <v>39.200000000000003</v>
      </c>
      <c r="CI63" s="3"/>
      <c r="CJ63" s="3"/>
      <c r="CK63" s="3"/>
      <c r="CL63" s="3"/>
      <c r="CM63" s="3"/>
      <c r="CN63" s="3"/>
      <c r="CO63" s="3"/>
      <c r="CP63" s="3"/>
    </row>
    <row r="64" spans="1:94">
      <c r="A64" s="3">
        <v>56033</v>
      </c>
      <c r="B64" s="4" t="s">
        <v>1469</v>
      </c>
      <c r="C64" s="4" t="s">
        <v>25</v>
      </c>
      <c r="D64" s="4" t="s">
        <v>848</v>
      </c>
      <c r="E64" s="4" t="s">
        <v>849</v>
      </c>
      <c r="F64" s="4" t="s">
        <v>1474</v>
      </c>
      <c r="G64" s="4" t="s">
        <v>1475</v>
      </c>
      <c r="H64" s="4" t="s">
        <v>1476</v>
      </c>
      <c r="I64" s="4" t="s">
        <v>188</v>
      </c>
      <c r="J64" s="4" t="s">
        <v>1362</v>
      </c>
      <c r="K64" s="3">
        <v>57</v>
      </c>
      <c r="L64" s="4" t="s">
        <v>0</v>
      </c>
      <c r="M64" s="4" t="s">
        <v>1220</v>
      </c>
      <c r="N64" s="5">
        <v>2289.7600000000002</v>
      </c>
      <c r="O64" s="6">
        <v>40852</v>
      </c>
      <c r="P64" s="3"/>
      <c r="Q64" s="4" t="s">
        <v>2072</v>
      </c>
      <c r="R64" s="54">
        <v>4</v>
      </c>
      <c r="S64" s="69" t="s">
        <v>3060</v>
      </c>
      <c r="T64" s="55"/>
      <c r="U64" s="57">
        <v>2.85</v>
      </c>
      <c r="V64" s="55">
        <v>18</v>
      </c>
      <c r="W64" s="55">
        <v>36</v>
      </c>
      <c r="X64" s="58">
        <v>102.6</v>
      </c>
      <c r="Y64" s="54">
        <v>422</v>
      </c>
      <c r="Z64" s="69" t="s">
        <v>3045</v>
      </c>
      <c r="AA64" s="55"/>
      <c r="AB64" s="57">
        <v>4.3499999999999996</v>
      </c>
      <c r="AC64" s="55">
        <v>18</v>
      </c>
      <c r="AD64" s="55">
        <v>36</v>
      </c>
      <c r="AE64" s="58">
        <v>156.6</v>
      </c>
      <c r="AF64" s="54"/>
      <c r="AG64" s="69"/>
      <c r="AH64" s="55"/>
      <c r="AI64" s="55"/>
      <c r="AJ64" s="55"/>
      <c r="AK64" s="55"/>
      <c r="AL64" s="56"/>
      <c r="AM64" s="54"/>
      <c r="AN64" s="69"/>
      <c r="AO64" s="55"/>
      <c r="AP64" s="55"/>
      <c r="AQ64" s="55"/>
      <c r="AR64" s="55"/>
      <c r="AS64" s="56"/>
      <c r="AT64" s="54"/>
      <c r="AU64" s="69"/>
      <c r="AV64" s="55"/>
      <c r="AW64" s="55"/>
      <c r="AX64" s="55"/>
      <c r="AY64" s="55"/>
      <c r="AZ64" s="56"/>
      <c r="BA64" s="65">
        <f t="shared" si="0"/>
        <v>259.2</v>
      </c>
      <c r="BB64" s="73">
        <f>VLOOKUP($C64,'REL. VT'!$C:Y,23,0)</f>
        <v>18</v>
      </c>
      <c r="BC64" s="74">
        <f>VLOOKUP($C64,'REL. VT'!$C:Z,24,0)</f>
        <v>2</v>
      </c>
      <c r="BD64" s="65">
        <f>VLOOKUP($C64,'REL. VT'!$C:AA,25,0)</f>
        <v>2.85</v>
      </c>
      <c r="BE64" s="97">
        <f>BB64*BC64*BD64</f>
        <v>102.60000000000001</v>
      </c>
      <c r="BF64" s="73">
        <f>VLOOKUP($C64,'REL. VT'!$C:AF,30,0)</f>
        <v>18</v>
      </c>
      <c r="BG64" s="74">
        <f>VLOOKUP($C64,'REL. VT'!$C:AG,31,0)</f>
        <v>2</v>
      </c>
      <c r="BH64" s="65">
        <f>VLOOKUP($C64,'REL. VT'!$C:AH,32,0)</f>
        <v>4.3499999999999996</v>
      </c>
      <c r="BI64" s="97">
        <f>BF64*BG64*BH64</f>
        <v>156.6</v>
      </c>
      <c r="BJ64" s="73"/>
      <c r="BK64" s="74"/>
      <c r="BL64" s="65"/>
      <c r="BM64" s="94"/>
      <c r="BN64" s="65">
        <f t="shared" si="1"/>
        <v>259.2</v>
      </c>
      <c r="BO64" s="65" t="b">
        <f t="shared" si="2"/>
        <v>1</v>
      </c>
      <c r="BP64" s="70" t="s">
        <v>708</v>
      </c>
      <c r="BQ64" s="69" t="s">
        <v>1172</v>
      </c>
      <c r="BR64" s="55">
        <v>18</v>
      </c>
      <c r="BS64" s="57">
        <v>9.8000000000000007</v>
      </c>
      <c r="BT64" s="98">
        <v>176.4</v>
      </c>
      <c r="BU64" s="70" t="s">
        <v>3134</v>
      </c>
      <c r="BV64" s="69" t="s">
        <v>3135</v>
      </c>
      <c r="BW64" s="57">
        <v>0.01</v>
      </c>
      <c r="BX64" s="55"/>
      <c r="BY64" s="55">
        <v>1</v>
      </c>
      <c r="BZ64" s="58">
        <v>0.01</v>
      </c>
      <c r="CA64" s="70"/>
      <c r="CB64" s="69"/>
      <c r="CC64" s="55"/>
      <c r="CD64" s="55"/>
      <c r="CE64" s="55"/>
      <c r="CF64" s="56"/>
      <c r="CG64" s="5">
        <v>123.65</v>
      </c>
      <c r="CH64" s="5">
        <v>35.28</v>
      </c>
      <c r="CI64" s="6">
        <v>41835</v>
      </c>
      <c r="CJ64" s="6">
        <v>41854</v>
      </c>
      <c r="CK64" s="3"/>
      <c r="CL64" s="3"/>
      <c r="CM64" s="3"/>
      <c r="CN64" s="3"/>
      <c r="CO64" s="3"/>
      <c r="CP64" s="3"/>
    </row>
    <row r="65" spans="1:94">
      <c r="A65" s="3">
        <v>61507</v>
      </c>
      <c r="B65" s="4" t="s">
        <v>1470</v>
      </c>
      <c r="C65" s="4" t="s">
        <v>843</v>
      </c>
      <c r="D65" s="4" t="s">
        <v>216</v>
      </c>
      <c r="E65" s="4" t="s">
        <v>217</v>
      </c>
      <c r="F65" s="4" t="s">
        <v>1364</v>
      </c>
      <c r="G65" s="4" t="s">
        <v>1365</v>
      </c>
      <c r="H65" s="4" t="s">
        <v>1366</v>
      </c>
      <c r="I65" s="4" t="s">
        <v>188</v>
      </c>
      <c r="J65" s="4" t="s">
        <v>1362</v>
      </c>
      <c r="K65" s="3">
        <v>57</v>
      </c>
      <c r="L65" s="4" t="s">
        <v>0</v>
      </c>
      <c r="M65" s="4" t="s">
        <v>123</v>
      </c>
      <c r="N65" s="5">
        <v>2110.38</v>
      </c>
      <c r="O65" s="6">
        <v>41183</v>
      </c>
      <c r="P65" s="3"/>
      <c r="Q65" s="4" t="s">
        <v>2072</v>
      </c>
      <c r="R65" s="54"/>
      <c r="S65" s="69"/>
      <c r="T65" s="55"/>
      <c r="U65" s="55"/>
      <c r="V65" s="55"/>
      <c r="W65" s="55"/>
      <c r="X65" s="56"/>
      <c r="Y65" s="54"/>
      <c r="Z65" s="69"/>
      <c r="AA65" s="55"/>
      <c r="AB65" s="55"/>
      <c r="AC65" s="55"/>
      <c r="AD65" s="55"/>
      <c r="AE65" s="56"/>
      <c r="AF65" s="54"/>
      <c r="AG65" s="69"/>
      <c r="AH65" s="55"/>
      <c r="AI65" s="55"/>
      <c r="AJ65" s="55"/>
      <c r="AK65" s="55"/>
      <c r="AL65" s="56"/>
      <c r="AM65" s="54"/>
      <c r="AN65" s="69"/>
      <c r="AO65" s="55"/>
      <c r="AP65" s="55"/>
      <c r="AQ65" s="55"/>
      <c r="AR65" s="55"/>
      <c r="AS65" s="56"/>
      <c r="AT65" s="54"/>
      <c r="AU65" s="69"/>
      <c r="AV65" s="55"/>
      <c r="AW65" s="55"/>
      <c r="AX65" s="55"/>
      <c r="AY65" s="55"/>
      <c r="AZ65" s="56"/>
      <c r="BA65" s="65">
        <f t="shared" si="0"/>
        <v>0</v>
      </c>
      <c r="BB65" s="73"/>
      <c r="BC65" s="74"/>
      <c r="BD65" s="65"/>
      <c r="BE65" s="94"/>
      <c r="BF65" s="73"/>
      <c r="BG65" s="74"/>
      <c r="BH65" s="65"/>
      <c r="BI65" s="94"/>
      <c r="BJ65" s="73"/>
      <c r="BK65" s="74"/>
      <c r="BL65" s="65"/>
      <c r="BM65" s="94"/>
      <c r="BN65" s="65">
        <f t="shared" si="1"/>
        <v>0</v>
      </c>
      <c r="BO65" s="65" t="b">
        <f t="shared" si="2"/>
        <v>1</v>
      </c>
      <c r="BP65" s="70" t="s">
        <v>708</v>
      </c>
      <c r="BQ65" s="69" t="s">
        <v>1172</v>
      </c>
      <c r="BR65" s="55">
        <v>20</v>
      </c>
      <c r="BS65" s="57">
        <v>9.8000000000000007</v>
      </c>
      <c r="BT65" s="98">
        <v>196</v>
      </c>
      <c r="BU65" s="70" t="s">
        <v>3134</v>
      </c>
      <c r="BV65" s="69" t="s">
        <v>3135</v>
      </c>
      <c r="BW65" s="57">
        <v>0.01</v>
      </c>
      <c r="BX65" s="55"/>
      <c r="BY65" s="55">
        <v>1</v>
      </c>
      <c r="BZ65" s="58">
        <v>0.01</v>
      </c>
      <c r="CA65" s="70"/>
      <c r="CB65" s="69"/>
      <c r="CC65" s="55"/>
      <c r="CD65" s="55"/>
      <c r="CE65" s="55"/>
      <c r="CF65" s="56"/>
      <c r="CG65" s="3"/>
      <c r="CH65" s="5">
        <v>39.200000000000003</v>
      </c>
      <c r="CI65" s="3"/>
      <c r="CJ65" s="3"/>
      <c r="CK65" s="3"/>
      <c r="CL65" s="3"/>
      <c r="CM65" s="3"/>
      <c r="CN65" s="3"/>
      <c r="CO65" s="3"/>
      <c r="CP65" s="3"/>
    </row>
    <row r="66" spans="1:94">
      <c r="A66" s="3">
        <v>67428</v>
      </c>
      <c r="B66" s="4" t="s">
        <v>1471</v>
      </c>
      <c r="C66" s="4" t="s">
        <v>845</v>
      </c>
      <c r="D66" s="4" t="s">
        <v>2981</v>
      </c>
      <c r="E66" s="4" t="s">
        <v>362</v>
      </c>
      <c r="F66" s="4" t="s">
        <v>2982</v>
      </c>
      <c r="G66" s="4" t="s">
        <v>2983</v>
      </c>
      <c r="H66" s="4" t="s">
        <v>2984</v>
      </c>
      <c r="I66" s="4" t="s">
        <v>188</v>
      </c>
      <c r="J66" s="4" t="s">
        <v>1362</v>
      </c>
      <c r="K66" s="3">
        <v>57</v>
      </c>
      <c r="L66" s="4" t="s">
        <v>0</v>
      </c>
      <c r="M66" s="4" t="s">
        <v>183</v>
      </c>
      <c r="N66" s="5">
        <v>2110.38</v>
      </c>
      <c r="O66" s="6">
        <v>41456</v>
      </c>
      <c r="P66" s="3"/>
      <c r="Q66" s="4" t="s">
        <v>2072</v>
      </c>
      <c r="R66" s="54"/>
      <c r="S66" s="69"/>
      <c r="T66" s="55"/>
      <c r="U66" s="55"/>
      <c r="V66" s="55"/>
      <c r="W66" s="55"/>
      <c r="X66" s="56"/>
      <c r="Y66" s="54"/>
      <c r="Z66" s="69"/>
      <c r="AA66" s="55"/>
      <c r="AB66" s="55"/>
      <c r="AC66" s="55"/>
      <c r="AD66" s="55"/>
      <c r="AE66" s="56"/>
      <c r="AF66" s="54"/>
      <c r="AG66" s="69"/>
      <c r="AH66" s="55"/>
      <c r="AI66" s="55"/>
      <c r="AJ66" s="55"/>
      <c r="AK66" s="55"/>
      <c r="AL66" s="56"/>
      <c r="AM66" s="54"/>
      <c r="AN66" s="69"/>
      <c r="AO66" s="55"/>
      <c r="AP66" s="55"/>
      <c r="AQ66" s="55"/>
      <c r="AR66" s="55"/>
      <c r="AS66" s="56"/>
      <c r="AT66" s="54"/>
      <c r="AU66" s="69"/>
      <c r="AV66" s="55"/>
      <c r="AW66" s="55"/>
      <c r="AX66" s="55"/>
      <c r="AY66" s="55"/>
      <c r="AZ66" s="56"/>
      <c r="BA66" s="65">
        <f t="shared" si="0"/>
        <v>0</v>
      </c>
      <c r="BB66" s="73"/>
      <c r="BC66" s="74"/>
      <c r="BD66" s="65"/>
      <c r="BE66" s="94"/>
      <c r="BF66" s="73"/>
      <c r="BG66" s="74"/>
      <c r="BH66" s="65"/>
      <c r="BI66" s="94"/>
      <c r="BJ66" s="73"/>
      <c r="BK66" s="74"/>
      <c r="BL66" s="65"/>
      <c r="BM66" s="94"/>
      <c r="BN66" s="65">
        <f t="shared" si="1"/>
        <v>0</v>
      </c>
      <c r="BO66" s="65" t="b">
        <f t="shared" si="2"/>
        <v>1</v>
      </c>
      <c r="BP66" s="70" t="s">
        <v>708</v>
      </c>
      <c r="BQ66" s="69" t="s">
        <v>1172</v>
      </c>
      <c r="BR66" s="55">
        <v>20</v>
      </c>
      <c r="BS66" s="57">
        <v>9.8000000000000007</v>
      </c>
      <c r="BT66" s="98">
        <v>196</v>
      </c>
      <c r="BU66" s="70" t="s">
        <v>3134</v>
      </c>
      <c r="BV66" s="69" t="s">
        <v>3135</v>
      </c>
      <c r="BW66" s="57">
        <v>0.01</v>
      </c>
      <c r="BX66" s="55"/>
      <c r="BY66" s="55">
        <v>1</v>
      </c>
      <c r="BZ66" s="58">
        <v>0.01</v>
      </c>
      <c r="CA66" s="70"/>
      <c r="CB66" s="69"/>
      <c r="CC66" s="55"/>
      <c r="CD66" s="55"/>
      <c r="CE66" s="55"/>
      <c r="CF66" s="56"/>
      <c r="CG66" s="3"/>
      <c r="CH66" s="5">
        <v>39.200000000000003</v>
      </c>
      <c r="CI66" s="3"/>
      <c r="CJ66" s="3"/>
      <c r="CK66" s="3"/>
      <c r="CL66" s="3"/>
      <c r="CM66" s="3"/>
      <c r="CN66" s="3"/>
      <c r="CO66" s="3"/>
      <c r="CP66" s="3"/>
    </row>
    <row r="67" spans="1:94">
      <c r="A67" s="3">
        <v>58054</v>
      </c>
      <c r="B67" s="4" t="s">
        <v>1472</v>
      </c>
      <c r="C67" s="4" t="s">
        <v>26</v>
      </c>
      <c r="D67" s="4" t="s">
        <v>3083</v>
      </c>
      <c r="E67" s="4" t="s">
        <v>3084</v>
      </c>
      <c r="F67" s="4" t="s">
        <v>3082</v>
      </c>
      <c r="G67" s="4" t="s">
        <v>3104</v>
      </c>
      <c r="H67" s="4" t="s">
        <v>3105</v>
      </c>
      <c r="I67" s="4" t="s">
        <v>188</v>
      </c>
      <c r="J67" s="4" t="s">
        <v>1362</v>
      </c>
      <c r="K67" s="3">
        <v>57</v>
      </c>
      <c r="L67" s="4" t="s">
        <v>0</v>
      </c>
      <c r="M67" s="4" t="s">
        <v>167</v>
      </c>
      <c r="N67" s="5">
        <v>2289.7600000000002</v>
      </c>
      <c r="O67" s="6">
        <v>40975</v>
      </c>
      <c r="P67" s="3"/>
      <c r="Q67" s="4" t="s">
        <v>2072</v>
      </c>
      <c r="R67" s="54"/>
      <c r="S67" s="69"/>
      <c r="T67" s="55"/>
      <c r="U67" s="55"/>
      <c r="V67" s="55"/>
      <c r="W67" s="55"/>
      <c r="X67" s="56"/>
      <c r="Y67" s="54"/>
      <c r="Z67" s="69"/>
      <c r="AA67" s="55"/>
      <c r="AB67" s="55"/>
      <c r="AC67" s="55"/>
      <c r="AD67" s="55"/>
      <c r="AE67" s="56"/>
      <c r="AF67" s="54"/>
      <c r="AG67" s="69"/>
      <c r="AH67" s="55"/>
      <c r="AI67" s="55"/>
      <c r="AJ67" s="55"/>
      <c r="AK67" s="55"/>
      <c r="AL67" s="56"/>
      <c r="AM67" s="54"/>
      <c r="AN67" s="69"/>
      <c r="AO67" s="55"/>
      <c r="AP67" s="55"/>
      <c r="AQ67" s="55"/>
      <c r="AR67" s="55"/>
      <c r="AS67" s="56"/>
      <c r="AT67" s="54"/>
      <c r="AU67" s="69"/>
      <c r="AV67" s="55"/>
      <c r="AW67" s="55"/>
      <c r="AX67" s="55"/>
      <c r="AY67" s="55"/>
      <c r="AZ67" s="56"/>
      <c r="BA67" s="65">
        <f t="shared" ref="BA67:BA104" si="3">X67+AE67+AL67+AS67+AZ67</f>
        <v>0</v>
      </c>
      <c r="BB67" s="73"/>
      <c r="BC67" s="74"/>
      <c r="BD67" s="65"/>
      <c r="BE67" s="94"/>
      <c r="BF67" s="73"/>
      <c r="BG67" s="74"/>
      <c r="BH67" s="65"/>
      <c r="BI67" s="94"/>
      <c r="BJ67" s="73"/>
      <c r="BK67" s="74"/>
      <c r="BL67" s="65"/>
      <c r="BM67" s="94"/>
      <c r="BN67" s="65">
        <f t="shared" ref="BN67:BN104" si="4">BE67+BI67+BM67</f>
        <v>0</v>
      </c>
      <c r="BO67" s="65" t="b">
        <f t="shared" ref="BO67:BO105" si="5">BN67=BA67</f>
        <v>1</v>
      </c>
      <c r="BP67" s="70" t="s">
        <v>708</v>
      </c>
      <c r="BQ67" s="69" t="s">
        <v>1172</v>
      </c>
      <c r="BR67" s="55">
        <v>20</v>
      </c>
      <c r="BS67" s="57">
        <v>12.7</v>
      </c>
      <c r="BT67" s="98">
        <v>254</v>
      </c>
      <c r="BU67" s="70" t="s">
        <v>3134</v>
      </c>
      <c r="BV67" s="69" t="s">
        <v>3135</v>
      </c>
      <c r="BW67" s="57">
        <v>0.01</v>
      </c>
      <c r="BX67" s="55"/>
      <c r="BY67" s="55">
        <v>1</v>
      </c>
      <c r="BZ67" s="58">
        <v>0.01</v>
      </c>
      <c r="CA67" s="70"/>
      <c r="CB67" s="69"/>
      <c r="CC67" s="55"/>
      <c r="CD67" s="55"/>
      <c r="CE67" s="55"/>
      <c r="CF67" s="56"/>
      <c r="CG67" s="3"/>
      <c r="CH67" s="5">
        <v>50.8</v>
      </c>
      <c r="CI67" s="3"/>
      <c r="CJ67" s="3"/>
      <c r="CK67" s="3"/>
      <c r="CL67" s="3"/>
      <c r="CM67" s="3"/>
      <c r="CN67" s="3"/>
      <c r="CO67" s="3"/>
      <c r="CP67" s="3"/>
    </row>
    <row r="68" spans="1:94">
      <c r="A68" s="3">
        <v>56178</v>
      </c>
      <c r="B68" s="4" t="s">
        <v>1473</v>
      </c>
      <c r="C68" s="4" t="s">
        <v>80</v>
      </c>
      <c r="D68" s="4" t="s">
        <v>848</v>
      </c>
      <c r="E68" s="4" t="s">
        <v>849</v>
      </c>
      <c r="F68" s="4" t="s">
        <v>1474</v>
      </c>
      <c r="G68" s="4" t="s">
        <v>1475</v>
      </c>
      <c r="H68" s="4" t="s">
        <v>1476</v>
      </c>
      <c r="I68" s="4" t="s">
        <v>188</v>
      </c>
      <c r="J68" s="4" t="s">
        <v>1362</v>
      </c>
      <c r="K68" s="3">
        <v>57</v>
      </c>
      <c r="L68" s="4" t="s">
        <v>0</v>
      </c>
      <c r="M68" s="4" t="s">
        <v>1220</v>
      </c>
      <c r="N68" s="5">
        <v>2289.7600000000002</v>
      </c>
      <c r="O68" s="6">
        <v>40852</v>
      </c>
      <c r="P68" s="3"/>
      <c r="Q68" s="4" t="s">
        <v>2072</v>
      </c>
      <c r="R68" s="54">
        <v>29</v>
      </c>
      <c r="S68" s="69" t="s">
        <v>3045</v>
      </c>
      <c r="T68" s="55"/>
      <c r="U68" s="57">
        <v>4.3499999999999996</v>
      </c>
      <c r="V68" s="55">
        <v>19</v>
      </c>
      <c r="W68" s="55">
        <v>38</v>
      </c>
      <c r="X68" s="58">
        <v>165.3</v>
      </c>
      <c r="Y68" s="54"/>
      <c r="Z68" s="69"/>
      <c r="AA68" s="55"/>
      <c r="AB68" s="55"/>
      <c r="AC68" s="55"/>
      <c r="AD68" s="55"/>
      <c r="AE68" s="56"/>
      <c r="AF68" s="54"/>
      <c r="AG68" s="69"/>
      <c r="AH68" s="55"/>
      <c r="AI68" s="55"/>
      <c r="AJ68" s="55"/>
      <c r="AK68" s="55"/>
      <c r="AL68" s="56"/>
      <c r="AM68" s="54"/>
      <c r="AN68" s="69"/>
      <c r="AO68" s="55"/>
      <c r="AP68" s="55"/>
      <c r="AQ68" s="55"/>
      <c r="AR68" s="55"/>
      <c r="AS68" s="56"/>
      <c r="AT68" s="54"/>
      <c r="AU68" s="69"/>
      <c r="AV68" s="55"/>
      <c r="AW68" s="55"/>
      <c r="AX68" s="55"/>
      <c r="AY68" s="55"/>
      <c r="AZ68" s="56"/>
      <c r="BA68" s="65">
        <f t="shared" si="3"/>
        <v>165.3</v>
      </c>
      <c r="BB68" s="73"/>
      <c r="BC68" s="74"/>
      <c r="BD68" s="65"/>
      <c r="BE68" s="94"/>
      <c r="BF68" s="73">
        <f>VLOOKUP($C68,'REL. VT'!$C:AF,30,0)</f>
        <v>19</v>
      </c>
      <c r="BG68" s="74">
        <f>VLOOKUP($C68,'REL. VT'!$C:AG,31,0)</f>
        <v>2</v>
      </c>
      <c r="BH68" s="65">
        <f>VLOOKUP($C68,'REL. VT'!$C:AH,32,0)</f>
        <v>4.3499999999999996</v>
      </c>
      <c r="BI68" s="97">
        <f>BF68*BG68*BH68</f>
        <v>165.29999999999998</v>
      </c>
      <c r="BJ68" s="73"/>
      <c r="BK68" s="74"/>
      <c r="BL68" s="65"/>
      <c r="BM68" s="94"/>
      <c r="BN68" s="65">
        <f t="shared" si="4"/>
        <v>165.29999999999998</v>
      </c>
      <c r="BO68" s="65" t="b">
        <f t="shared" si="5"/>
        <v>1</v>
      </c>
      <c r="BP68" s="70" t="s">
        <v>708</v>
      </c>
      <c r="BQ68" s="69" t="s">
        <v>1172</v>
      </c>
      <c r="BR68" s="55">
        <v>19</v>
      </c>
      <c r="BS68" s="57">
        <v>9.8000000000000007</v>
      </c>
      <c r="BT68" s="98">
        <v>186.2</v>
      </c>
      <c r="BU68" s="70" t="s">
        <v>3134</v>
      </c>
      <c r="BV68" s="69" t="s">
        <v>3135</v>
      </c>
      <c r="BW68" s="57">
        <v>0.01</v>
      </c>
      <c r="BX68" s="55"/>
      <c r="BY68" s="55">
        <v>1</v>
      </c>
      <c r="BZ68" s="58">
        <v>0.01</v>
      </c>
      <c r="CA68" s="70"/>
      <c r="CB68" s="69"/>
      <c r="CC68" s="55"/>
      <c r="CD68" s="55"/>
      <c r="CE68" s="55"/>
      <c r="CF68" s="56"/>
      <c r="CG68" s="5">
        <v>137.38999999999999</v>
      </c>
      <c r="CH68" s="5">
        <v>37.24</v>
      </c>
      <c r="CI68" s="3"/>
      <c r="CJ68" s="3"/>
      <c r="CK68" s="3"/>
      <c r="CL68" s="3"/>
      <c r="CM68" s="3"/>
      <c r="CN68" s="3"/>
      <c r="CO68" s="3"/>
      <c r="CP68" s="3"/>
    </row>
    <row r="69" spans="1:94">
      <c r="A69" s="3">
        <v>64372</v>
      </c>
      <c r="B69" s="4" t="s">
        <v>1477</v>
      </c>
      <c r="C69" s="4" t="s">
        <v>1240</v>
      </c>
      <c r="D69" s="4" t="s">
        <v>1241</v>
      </c>
      <c r="E69" s="4" t="s">
        <v>1242</v>
      </c>
      <c r="F69" s="4" t="s">
        <v>1478</v>
      </c>
      <c r="G69" s="4" t="s">
        <v>1479</v>
      </c>
      <c r="H69" s="4" t="s">
        <v>1480</v>
      </c>
      <c r="I69" s="4" t="s">
        <v>188</v>
      </c>
      <c r="J69" s="4" t="s">
        <v>1362</v>
      </c>
      <c r="K69" s="3">
        <v>57</v>
      </c>
      <c r="L69" s="4" t="s">
        <v>0</v>
      </c>
      <c r="M69" s="4" t="s">
        <v>123</v>
      </c>
      <c r="N69" s="5">
        <v>2110.38</v>
      </c>
      <c r="O69" s="6">
        <v>41281</v>
      </c>
      <c r="P69" s="3"/>
      <c r="Q69" s="4" t="s">
        <v>2072</v>
      </c>
      <c r="R69" s="54"/>
      <c r="S69" s="69"/>
      <c r="T69" s="55"/>
      <c r="U69" s="55"/>
      <c r="V69" s="55"/>
      <c r="W69" s="55"/>
      <c r="X69" s="56"/>
      <c r="Y69" s="54"/>
      <c r="Z69" s="69"/>
      <c r="AA69" s="55"/>
      <c r="AB69" s="55"/>
      <c r="AC69" s="55"/>
      <c r="AD69" s="55"/>
      <c r="AE69" s="56"/>
      <c r="AF69" s="54"/>
      <c r="AG69" s="69"/>
      <c r="AH69" s="55"/>
      <c r="AI69" s="55"/>
      <c r="AJ69" s="55"/>
      <c r="AK69" s="55"/>
      <c r="AL69" s="56"/>
      <c r="AM69" s="54"/>
      <c r="AN69" s="69"/>
      <c r="AO69" s="55"/>
      <c r="AP69" s="55"/>
      <c r="AQ69" s="55"/>
      <c r="AR69" s="55"/>
      <c r="AS69" s="56"/>
      <c r="AT69" s="54"/>
      <c r="AU69" s="69"/>
      <c r="AV69" s="55"/>
      <c r="AW69" s="55"/>
      <c r="AX69" s="55"/>
      <c r="AY69" s="55"/>
      <c r="AZ69" s="56"/>
      <c r="BA69" s="65">
        <f t="shared" si="3"/>
        <v>0</v>
      </c>
      <c r="BB69" s="73"/>
      <c r="BC69" s="74"/>
      <c r="BD69" s="65"/>
      <c r="BE69" s="94"/>
      <c r="BF69" s="73"/>
      <c r="BG69" s="74"/>
      <c r="BH69" s="65"/>
      <c r="BI69" s="94"/>
      <c r="BJ69" s="73"/>
      <c r="BK69" s="74"/>
      <c r="BL69" s="65"/>
      <c r="BM69" s="94"/>
      <c r="BN69" s="65">
        <f t="shared" si="4"/>
        <v>0</v>
      </c>
      <c r="BO69" s="65" t="b">
        <f t="shared" si="5"/>
        <v>1</v>
      </c>
      <c r="BP69" s="70" t="s">
        <v>708</v>
      </c>
      <c r="BQ69" s="69" t="s">
        <v>1172</v>
      </c>
      <c r="BR69" s="55">
        <v>20</v>
      </c>
      <c r="BS69" s="57">
        <v>9.8000000000000007</v>
      </c>
      <c r="BT69" s="98">
        <v>196</v>
      </c>
      <c r="BU69" s="70" t="s">
        <v>3134</v>
      </c>
      <c r="BV69" s="69" t="s">
        <v>3135</v>
      </c>
      <c r="BW69" s="57">
        <v>0.01</v>
      </c>
      <c r="BX69" s="55"/>
      <c r="BY69" s="55">
        <v>1</v>
      </c>
      <c r="BZ69" s="58">
        <v>0.01</v>
      </c>
      <c r="CA69" s="70"/>
      <c r="CB69" s="69"/>
      <c r="CC69" s="55"/>
      <c r="CD69" s="55"/>
      <c r="CE69" s="55"/>
      <c r="CF69" s="56"/>
      <c r="CG69" s="3"/>
      <c r="CH69" s="5">
        <v>39.200000000000003</v>
      </c>
      <c r="CI69" s="3"/>
      <c r="CJ69" s="3"/>
      <c r="CK69" s="3"/>
      <c r="CL69" s="3"/>
      <c r="CM69" s="3"/>
      <c r="CN69" s="3"/>
      <c r="CO69" s="3"/>
      <c r="CP69" s="3"/>
    </row>
    <row r="70" spans="1:94">
      <c r="A70" s="3">
        <v>66372</v>
      </c>
      <c r="B70" s="4" t="s">
        <v>1481</v>
      </c>
      <c r="C70" s="4" t="s">
        <v>1325</v>
      </c>
      <c r="D70" s="4" t="s">
        <v>306</v>
      </c>
      <c r="E70" s="4" t="s">
        <v>307</v>
      </c>
      <c r="F70" s="4" t="s">
        <v>1379</v>
      </c>
      <c r="G70" s="4" t="s">
        <v>1380</v>
      </c>
      <c r="H70" s="4" t="s">
        <v>1381</v>
      </c>
      <c r="I70" s="4" t="s">
        <v>188</v>
      </c>
      <c r="J70" s="4" t="s">
        <v>1362</v>
      </c>
      <c r="K70" s="3">
        <v>57</v>
      </c>
      <c r="L70" s="4" t="s">
        <v>0</v>
      </c>
      <c r="M70" s="4" t="s">
        <v>118</v>
      </c>
      <c r="N70" s="5">
        <v>2289.7600000000002</v>
      </c>
      <c r="O70" s="6">
        <v>41402</v>
      </c>
      <c r="P70" s="3"/>
      <c r="Q70" s="4" t="s">
        <v>2072</v>
      </c>
      <c r="R70" s="54"/>
      <c r="S70" s="69"/>
      <c r="T70" s="55"/>
      <c r="U70" s="55"/>
      <c r="V70" s="55"/>
      <c r="W70" s="55"/>
      <c r="X70" s="56"/>
      <c r="Y70" s="54"/>
      <c r="Z70" s="69"/>
      <c r="AA70" s="55"/>
      <c r="AB70" s="55"/>
      <c r="AC70" s="55"/>
      <c r="AD70" s="55"/>
      <c r="AE70" s="56"/>
      <c r="AF70" s="54"/>
      <c r="AG70" s="69"/>
      <c r="AH70" s="55"/>
      <c r="AI70" s="55"/>
      <c r="AJ70" s="55"/>
      <c r="AK70" s="55"/>
      <c r="AL70" s="56"/>
      <c r="AM70" s="54"/>
      <c r="AN70" s="69"/>
      <c r="AO70" s="55"/>
      <c r="AP70" s="55"/>
      <c r="AQ70" s="55"/>
      <c r="AR70" s="55"/>
      <c r="AS70" s="56"/>
      <c r="AT70" s="54"/>
      <c r="AU70" s="69"/>
      <c r="AV70" s="55"/>
      <c r="AW70" s="55"/>
      <c r="AX70" s="55"/>
      <c r="AY70" s="55"/>
      <c r="AZ70" s="56"/>
      <c r="BA70" s="65">
        <f t="shared" si="3"/>
        <v>0</v>
      </c>
      <c r="BB70" s="73"/>
      <c r="BC70" s="74"/>
      <c r="BD70" s="65"/>
      <c r="BE70" s="94"/>
      <c r="BF70" s="73"/>
      <c r="BG70" s="74"/>
      <c r="BH70" s="65"/>
      <c r="BI70" s="94"/>
      <c r="BJ70" s="73"/>
      <c r="BK70" s="74"/>
      <c r="BL70" s="65"/>
      <c r="BM70" s="94"/>
      <c r="BN70" s="65">
        <f t="shared" si="4"/>
        <v>0</v>
      </c>
      <c r="BO70" s="65" t="b">
        <f t="shared" si="5"/>
        <v>1</v>
      </c>
      <c r="BP70" s="70" t="s">
        <v>708</v>
      </c>
      <c r="BQ70" s="69" t="s">
        <v>1172</v>
      </c>
      <c r="BR70" s="55">
        <v>20</v>
      </c>
      <c r="BS70" s="57">
        <v>9.8000000000000007</v>
      </c>
      <c r="BT70" s="98">
        <v>196</v>
      </c>
      <c r="BU70" s="70" t="s">
        <v>3134</v>
      </c>
      <c r="BV70" s="69" t="s">
        <v>3135</v>
      </c>
      <c r="BW70" s="57">
        <v>0.01</v>
      </c>
      <c r="BX70" s="55"/>
      <c r="BY70" s="55">
        <v>1</v>
      </c>
      <c r="BZ70" s="58">
        <v>0.01</v>
      </c>
      <c r="CA70" s="70"/>
      <c r="CB70" s="69"/>
      <c r="CC70" s="55"/>
      <c r="CD70" s="55"/>
      <c r="CE70" s="55"/>
      <c r="CF70" s="56"/>
      <c r="CG70" s="3"/>
      <c r="CH70" s="5">
        <v>39.200000000000003</v>
      </c>
      <c r="CI70" s="6">
        <v>41851</v>
      </c>
      <c r="CJ70" s="6">
        <v>41870</v>
      </c>
      <c r="CK70" s="3"/>
      <c r="CL70" s="3"/>
      <c r="CM70" s="3"/>
      <c r="CN70" s="3"/>
      <c r="CO70" s="3"/>
      <c r="CP70" s="3"/>
    </row>
    <row r="71" spans="1:94">
      <c r="A71" s="3">
        <v>67766</v>
      </c>
      <c r="B71" s="4" t="s">
        <v>2227</v>
      </c>
      <c r="C71" s="4" t="s">
        <v>2228</v>
      </c>
      <c r="D71" s="4" t="s">
        <v>2229</v>
      </c>
      <c r="E71" s="4" t="s">
        <v>2230</v>
      </c>
      <c r="F71" s="4" t="s">
        <v>2244</v>
      </c>
      <c r="G71" s="4" t="s">
        <v>2245</v>
      </c>
      <c r="H71" s="4" t="s">
        <v>2230</v>
      </c>
      <c r="I71" s="4" t="s">
        <v>188</v>
      </c>
      <c r="J71" s="4" t="s">
        <v>1362</v>
      </c>
      <c r="K71" s="3">
        <v>57</v>
      </c>
      <c r="L71" s="4" t="s">
        <v>0</v>
      </c>
      <c r="M71" s="4" t="s">
        <v>329</v>
      </c>
      <c r="N71" s="5">
        <v>2289.77</v>
      </c>
      <c r="O71" s="6">
        <v>41477</v>
      </c>
      <c r="P71" s="3"/>
      <c r="Q71" s="4" t="s">
        <v>2072</v>
      </c>
      <c r="R71" s="54"/>
      <c r="S71" s="69"/>
      <c r="T71" s="55"/>
      <c r="U71" s="55"/>
      <c r="V71" s="55"/>
      <c r="W71" s="55"/>
      <c r="X71" s="56"/>
      <c r="Y71" s="54"/>
      <c r="Z71" s="69"/>
      <c r="AA71" s="55"/>
      <c r="AB71" s="55"/>
      <c r="AC71" s="55"/>
      <c r="AD71" s="55"/>
      <c r="AE71" s="56"/>
      <c r="AF71" s="54"/>
      <c r="AG71" s="69"/>
      <c r="AH71" s="55"/>
      <c r="AI71" s="55"/>
      <c r="AJ71" s="55"/>
      <c r="AK71" s="55"/>
      <c r="AL71" s="56"/>
      <c r="AM71" s="54"/>
      <c r="AN71" s="69"/>
      <c r="AO71" s="55"/>
      <c r="AP71" s="55"/>
      <c r="AQ71" s="55"/>
      <c r="AR71" s="55"/>
      <c r="AS71" s="56"/>
      <c r="AT71" s="54"/>
      <c r="AU71" s="69"/>
      <c r="AV71" s="55"/>
      <c r="AW71" s="55"/>
      <c r="AX71" s="55"/>
      <c r="AY71" s="55"/>
      <c r="AZ71" s="56"/>
      <c r="BA71" s="65">
        <f t="shared" si="3"/>
        <v>0</v>
      </c>
      <c r="BB71" s="73"/>
      <c r="BC71" s="74"/>
      <c r="BD71" s="65"/>
      <c r="BE71" s="94"/>
      <c r="BF71" s="73"/>
      <c r="BG71" s="74"/>
      <c r="BH71" s="65"/>
      <c r="BI71" s="94"/>
      <c r="BJ71" s="73"/>
      <c r="BK71" s="74"/>
      <c r="BL71" s="65"/>
      <c r="BM71" s="94"/>
      <c r="BN71" s="65">
        <f t="shared" si="4"/>
        <v>0</v>
      </c>
      <c r="BO71" s="65" t="b">
        <f t="shared" si="5"/>
        <v>1</v>
      </c>
      <c r="BP71" s="70" t="s">
        <v>708</v>
      </c>
      <c r="BQ71" s="69" t="s">
        <v>1172</v>
      </c>
      <c r="BR71" s="55">
        <v>20</v>
      </c>
      <c r="BS71" s="57">
        <v>12.7</v>
      </c>
      <c r="BT71" s="98">
        <v>254</v>
      </c>
      <c r="BU71" s="70" t="s">
        <v>3134</v>
      </c>
      <c r="BV71" s="69" t="s">
        <v>3135</v>
      </c>
      <c r="BW71" s="57">
        <v>0.01</v>
      </c>
      <c r="BX71" s="55"/>
      <c r="BY71" s="55">
        <v>1</v>
      </c>
      <c r="BZ71" s="58">
        <v>0.01</v>
      </c>
      <c r="CA71" s="70"/>
      <c r="CB71" s="69"/>
      <c r="CC71" s="55"/>
      <c r="CD71" s="55"/>
      <c r="CE71" s="55"/>
      <c r="CF71" s="56"/>
      <c r="CG71" s="3"/>
      <c r="CH71" s="5">
        <v>50.8</v>
      </c>
      <c r="CI71" s="3"/>
      <c r="CJ71" s="3"/>
      <c r="CK71" s="3"/>
      <c r="CL71" s="3"/>
      <c r="CM71" s="3"/>
      <c r="CN71" s="3"/>
      <c r="CO71" s="3"/>
      <c r="CP71" s="3"/>
    </row>
    <row r="72" spans="1:94">
      <c r="A72" s="3">
        <v>56058</v>
      </c>
      <c r="B72" s="4" t="s">
        <v>1482</v>
      </c>
      <c r="C72" s="4" t="s">
        <v>27</v>
      </c>
      <c r="D72" s="4" t="s">
        <v>306</v>
      </c>
      <c r="E72" s="4" t="s">
        <v>307</v>
      </c>
      <c r="F72" s="4" t="s">
        <v>1379</v>
      </c>
      <c r="G72" s="4" t="s">
        <v>1380</v>
      </c>
      <c r="H72" s="4" t="s">
        <v>1381</v>
      </c>
      <c r="I72" s="4" t="s">
        <v>188</v>
      </c>
      <c r="J72" s="4" t="s">
        <v>1362</v>
      </c>
      <c r="K72" s="3">
        <v>57</v>
      </c>
      <c r="L72" s="4" t="s">
        <v>0</v>
      </c>
      <c r="M72" s="4" t="s">
        <v>118</v>
      </c>
      <c r="N72" s="5">
        <v>2289.7600000000002</v>
      </c>
      <c r="O72" s="6">
        <v>40852</v>
      </c>
      <c r="P72" s="3"/>
      <c r="Q72" s="4" t="s">
        <v>2072</v>
      </c>
      <c r="R72" s="54">
        <v>18</v>
      </c>
      <c r="S72" s="69" t="s">
        <v>3046</v>
      </c>
      <c r="T72" s="55"/>
      <c r="U72" s="57">
        <v>4.5</v>
      </c>
      <c r="V72" s="55">
        <v>11</v>
      </c>
      <c r="W72" s="55">
        <v>22</v>
      </c>
      <c r="X72" s="58">
        <v>99</v>
      </c>
      <c r="Y72" s="54"/>
      <c r="Z72" s="69"/>
      <c r="AA72" s="55"/>
      <c r="AB72" s="55"/>
      <c r="AC72" s="55"/>
      <c r="AD72" s="55"/>
      <c r="AE72" s="56"/>
      <c r="AF72" s="54"/>
      <c r="AG72" s="69"/>
      <c r="AH72" s="55"/>
      <c r="AI72" s="55"/>
      <c r="AJ72" s="55"/>
      <c r="AK72" s="55"/>
      <c r="AL72" s="56"/>
      <c r="AM72" s="54"/>
      <c r="AN72" s="69"/>
      <c r="AO72" s="55"/>
      <c r="AP72" s="55"/>
      <c r="AQ72" s="55"/>
      <c r="AR72" s="55"/>
      <c r="AS72" s="56"/>
      <c r="AT72" s="54"/>
      <c r="AU72" s="69"/>
      <c r="AV72" s="55"/>
      <c r="AW72" s="55"/>
      <c r="AX72" s="55"/>
      <c r="AY72" s="55"/>
      <c r="AZ72" s="56"/>
      <c r="BA72" s="65">
        <f t="shared" si="3"/>
        <v>99</v>
      </c>
      <c r="BB72" s="73"/>
      <c r="BC72" s="74"/>
      <c r="BD72" s="65"/>
      <c r="BE72" s="94"/>
      <c r="BF72" s="73">
        <f>VLOOKUP($C72,'REL. VT'!$C:AF,30,0)</f>
        <v>11</v>
      </c>
      <c r="BG72" s="74">
        <f>VLOOKUP($C72,'REL. VT'!$C:AG,31,0)</f>
        <v>2</v>
      </c>
      <c r="BH72" s="65">
        <f>VLOOKUP($C72,'REL. VT'!$C:AH,32,0)</f>
        <v>4.5</v>
      </c>
      <c r="BI72" s="97">
        <f>BF72*BG72*BH72</f>
        <v>99</v>
      </c>
      <c r="BJ72" s="73"/>
      <c r="BK72" s="74"/>
      <c r="BL72" s="65"/>
      <c r="BM72" s="94"/>
      <c r="BN72" s="65">
        <f t="shared" si="4"/>
        <v>99</v>
      </c>
      <c r="BO72" s="65" t="b">
        <f t="shared" si="5"/>
        <v>1</v>
      </c>
      <c r="BP72" s="70" t="s">
        <v>708</v>
      </c>
      <c r="BQ72" s="69" t="s">
        <v>1172</v>
      </c>
      <c r="BR72" s="55">
        <v>20</v>
      </c>
      <c r="BS72" s="57">
        <v>9.8000000000000007</v>
      </c>
      <c r="BT72" s="98">
        <v>196</v>
      </c>
      <c r="BU72" s="70" t="s">
        <v>3134</v>
      </c>
      <c r="BV72" s="69" t="s">
        <v>3135</v>
      </c>
      <c r="BW72" s="57">
        <v>0.01</v>
      </c>
      <c r="BX72" s="55"/>
      <c r="BY72" s="55">
        <v>1</v>
      </c>
      <c r="BZ72" s="58">
        <v>0.01</v>
      </c>
      <c r="CA72" s="70"/>
      <c r="CB72" s="69"/>
      <c r="CC72" s="55"/>
      <c r="CD72" s="55"/>
      <c r="CE72" s="55"/>
      <c r="CF72" s="56"/>
      <c r="CG72" s="5">
        <v>99</v>
      </c>
      <c r="CH72" s="5">
        <v>39.200000000000003</v>
      </c>
      <c r="CI72" s="3"/>
      <c r="CJ72" s="3"/>
      <c r="CK72" s="3"/>
      <c r="CL72" s="3"/>
      <c r="CM72" s="3"/>
      <c r="CN72" s="3"/>
      <c r="CO72" s="3"/>
      <c r="CP72" s="3"/>
    </row>
    <row r="73" spans="1:94">
      <c r="A73" s="3">
        <v>65470</v>
      </c>
      <c r="B73" s="4" t="s">
        <v>1483</v>
      </c>
      <c r="C73" s="4" t="s">
        <v>1295</v>
      </c>
      <c r="D73" s="4" t="s">
        <v>738</v>
      </c>
      <c r="E73" s="4" t="s">
        <v>739</v>
      </c>
      <c r="F73" s="4" t="s">
        <v>1484</v>
      </c>
      <c r="G73" s="4" t="s">
        <v>1485</v>
      </c>
      <c r="H73" s="4" t="s">
        <v>1486</v>
      </c>
      <c r="I73" s="4" t="s">
        <v>188</v>
      </c>
      <c r="J73" s="4" t="s">
        <v>1362</v>
      </c>
      <c r="K73" s="3">
        <v>57</v>
      </c>
      <c r="L73" s="4" t="s">
        <v>0</v>
      </c>
      <c r="M73" s="4" t="s">
        <v>183</v>
      </c>
      <c r="N73" s="5">
        <v>2110.38</v>
      </c>
      <c r="O73" s="6">
        <v>41358</v>
      </c>
      <c r="P73" s="3"/>
      <c r="Q73" s="4" t="s">
        <v>2072</v>
      </c>
      <c r="R73" s="54"/>
      <c r="S73" s="69"/>
      <c r="T73" s="55"/>
      <c r="U73" s="55"/>
      <c r="V73" s="55"/>
      <c r="W73" s="55"/>
      <c r="X73" s="56"/>
      <c r="Y73" s="54"/>
      <c r="Z73" s="69"/>
      <c r="AA73" s="55"/>
      <c r="AB73" s="55"/>
      <c r="AC73" s="55"/>
      <c r="AD73" s="55"/>
      <c r="AE73" s="56"/>
      <c r="AF73" s="54"/>
      <c r="AG73" s="69"/>
      <c r="AH73" s="55"/>
      <c r="AI73" s="55"/>
      <c r="AJ73" s="55"/>
      <c r="AK73" s="55"/>
      <c r="AL73" s="56"/>
      <c r="AM73" s="54"/>
      <c r="AN73" s="69"/>
      <c r="AO73" s="55"/>
      <c r="AP73" s="55"/>
      <c r="AQ73" s="55"/>
      <c r="AR73" s="55"/>
      <c r="AS73" s="56"/>
      <c r="AT73" s="54"/>
      <c r="AU73" s="69"/>
      <c r="AV73" s="55"/>
      <c r="AW73" s="55"/>
      <c r="AX73" s="55"/>
      <c r="AY73" s="55"/>
      <c r="AZ73" s="56"/>
      <c r="BA73" s="65">
        <f t="shared" si="3"/>
        <v>0</v>
      </c>
      <c r="BB73" s="73"/>
      <c r="BC73" s="74"/>
      <c r="BD73" s="65"/>
      <c r="BE73" s="94"/>
      <c r="BF73" s="73"/>
      <c r="BG73" s="74"/>
      <c r="BH73" s="65"/>
      <c r="BI73" s="94"/>
      <c r="BJ73" s="73"/>
      <c r="BK73" s="74"/>
      <c r="BL73" s="65"/>
      <c r="BM73" s="94"/>
      <c r="BN73" s="65">
        <f t="shared" si="4"/>
        <v>0</v>
      </c>
      <c r="BO73" s="65" t="b">
        <f t="shared" si="5"/>
        <v>1</v>
      </c>
      <c r="BP73" s="70" t="s">
        <v>708</v>
      </c>
      <c r="BQ73" s="69" t="s">
        <v>1172</v>
      </c>
      <c r="BR73" s="55">
        <v>20</v>
      </c>
      <c r="BS73" s="57">
        <v>9.8000000000000007</v>
      </c>
      <c r="BT73" s="98">
        <v>196</v>
      </c>
      <c r="BU73" s="70" t="s">
        <v>3134</v>
      </c>
      <c r="BV73" s="69" t="s">
        <v>3135</v>
      </c>
      <c r="BW73" s="57">
        <v>0.01</v>
      </c>
      <c r="BX73" s="55"/>
      <c r="BY73" s="55">
        <v>1</v>
      </c>
      <c r="BZ73" s="58">
        <v>0.01</v>
      </c>
      <c r="CA73" s="70"/>
      <c r="CB73" s="69"/>
      <c r="CC73" s="55"/>
      <c r="CD73" s="55"/>
      <c r="CE73" s="55"/>
      <c r="CF73" s="56"/>
      <c r="CG73" s="3"/>
      <c r="CH73" s="5">
        <v>39.200000000000003</v>
      </c>
      <c r="CI73" s="3"/>
      <c r="CJ73" s="3"/>
      <c r="CK73" s="3"/>
      <c r="CL73" s="3"/>
      <c r="CM73" s="3"/>
      <c r="CN73" s="3"/>
      <c r="CO73" s="3"/>
      <c r="CP73" s="3"/>
    </row>
    <row r="74" spans="1:94">
      <c r="A74" s="3">
        <v>56092</v>
      </c>
      <c r="B74" s="4" t="s">
        <v>880</v>
      </c>
      <c r="C74" s="4" t="s">
        <v>68</v>
      </c>
      <c r="D74" s="4" t="s">
        <v>441</v>
      </c>
      <c r="E74" s="4" t="s">
        <v>442</v>
      </c>
      <c r="F74" s="4" t="s">
        <v>1400</v>
      </c>
      <c r="G74" s="4" t="s">
        <v>1401</v>
      </c>
      <c r="H74" s="4" t="s">
        <v>1402</v>
      </c>
      <c r="I74" s="4" t="s">
        <v>188</v>
      </c>
      <c r="J74" s="4" t="s">
        <v>1362</v>
      </c>
      <c r="K74" s="3">
        <v>57</v>
      </c>
      <c r="L74" s="4" t="s">
        <v>0</v>
      </c>
      <c r="M74" s="4" t="s">
        <v>193</v>
      </c>
      <c r="N74" s="5">
        <v>2110.38</v>
      </c>
      <c r="O74" s="6">
        <v>40852</v>
      </c>
      <c r="P74" s="3"/>
      <c r="Q74" s="4" t="s">
        <v>2072</v>
      </c>
      <c r="R74" s="54"/>
      <c r="S74" s="69"/>
      <c r="T74" s="55"/>
      <c r="U74" s="55"/>
      <c r="V74" s="55"/>
      <c r="W74" s="55"/>
      <c r="X74" s="56"/>
      <c r="Y74" s="54"/>
      <c r="Z74" s="69"/>
      <c r="AA74" s="55"/>
      <c r="AB74" s="55"/>
      <c r="AC74" s="55"/>
      <c r="AD74" s="55"/>
      <c r="AE74" s="56"/>
      <c r="AF74" s="54"/>
      <c r="AG74" s="69"/>
      <c r="AH74" s="55"/>
      <c r="AI74" s="55"/>
      <c r="AJ74" s="55"/>
      <c r="AK74" s="55"/>
      <c r="AL74" s="56"/>
      <c r="AM74" s="54"/>
      <c r="AN74" s="69"/>
      <c r="AO74" s="55"/>
      <c r="AP74" s="55"/>
      <c r="AQ74" s="55"/>
      <c r="AR74" s="55"/>
      <c r="AS74" s="56"/>
      <c r="AT74" s="54"/>
      <c r="AU74" s="69"/>
      <c r="AV74" s="55"/>
      <c r="AW74" s="55"/>
      <c r="AX74" s="55"/>
      <c r="AY74" s="55"/>
      <c r="AZ74" s="56"/>
      <c r="BA74" s="65">
        <f t="shared" si="3"/>
        <v>0</v>
      </c>
      <c r="BB74" s="73"/>
      <c r="BC74" s="74"/>
      <c r="BD74" s="65"/>
      <c r="BE74" s="94"/>
      <c r="BF74" s="73"/>
      <c r="BG74" s="74"/>
      <c r="BH74" s="65"/>
      <c r="BI74" s="94"/>
      <c r="BJ74" s="73"/>
      <c r="BK74" s="74"/>
      <c r="BL74" s="65"/>
      <c r="BM74" s="94"/>
      <c r="BN74" s="65">
        <f t="shared" si="4"/>
        <v>0</v>
      </c>
      <c r="BO74" s="65" t="b">
        <f t="shared" si="5"/>
        <v>1</v>
      </c>
      <c r="BP74" s="70" t="s">
        <v>708</v>
      </c>
      <c r="BQ74" s="69" t="s">
        <v>1172</v>
      </c>
      <c r="BR74" s="55">
        <v>21</v>
      </c>
      <c r="BS74" s="57">
        <v>9.8000000000000007</v>
      </c>
      <c r="BT74" s="98">
        <v>205.8</v>
      </c>
      <c r="BU74" s="70" t="s">
        <v>3134</v>
      </c>
      <c r="BV74" s="69" t="s">
        <v>3135</v>
      </c>
      <c r="BW74" s="57">
        <v>0.01</v>
      </c>
      <c r="BX74" s="55"/>
      <c r="BY74" s="55">
        <v>1</v>
      </c>
      <c r="BZ74" s="58">
        <v>0.01</v>
      </c>
      <c r="CA74" s="70"/>
      <c r="CB74" s="69"/>
      <c r="CC74" s="55"/>
      <c r="CD74" s="55"/>
      <c r="CE74" s="55"/>
      <c r="CF74" s="56"/>
      <c r="CG74" s="3"/>
      <c r="CH74" s="5">
        <v>41.16</v>
      </c>
      <c r="CI74" s="3"/>
      <c r="CJ74" s="3"/>
      <c r="CK74" s="3"/>
      <c r="CL74" s="3"/>
      <c r="CM74" s="3"/>
      <c r="CN74" s="3"/>
      <c r="CO74" s="3"/>
      <c r="CP74" s="3"/>
    </row>
    <row r="75" spans="1:94">
      <c r="A75" s="3">
        <v>56037</v>
      </c>
      <c r="B75" s="4" t="s">
        <v>1487</v>
      </c>
      <c r="C75" s="4" t="s">
        <v>28</v>
      </c>
      <c r="D75" s="4" t="s">
        <v>306</v>
      </c>
      <c r="E75" s="4" t="s">
        <v>307</v>
      </c>
      <c r="F75" s="4" t="s">
        <v>1379</v>
      </c>
      <c r="G75" s="4" t="s">
        <v>1380</v>
      </c>
      <c r="H75" s="4" t="s">
        <v>1381</v>
      </c>
      <c r="I75" s="4" t="s">
        <v>188</v>
      </c>
      <c r="J75" s="4" t="s">
        <v>1362</v>
      </c>
      <c r="K75" s="3">
        <v>57</v>
      </c>
      <c r="L75" s="4" t="s">
        <v>0</v>
      </c>
      <c r="M75" s="4" t="s">
        <v>118</v>
      </c>
      <c r="N75" s="5">
        <v>2289.7600000000002</v>
      </c>
      <c r="O75" s="6">
        <v>40852</v>
      </c>
      <c r="P75" s="3"/>
      <c r="Q75" s="4" t="s">
        <v>2072</v>
      </c>
      <c r="R75" s="54">
        <v>4</v>
      </c>
      <c r="S75" s="69" t="s">
        <v>3060</v>
      </c>
      <c r="T75" s="55"/>
      <c r="U75" s="57">
        <v>2.85</v>
      </c>
      <c r="V75" s="55">
        <v>15</v>
      </c>
      <c r="W75" s="55">
        <v>30</v>
      </c>
      <c r="X75" s="58">
        <v>85.5</v>
      </c>
      <c r="Y75" s="54">
        <v>706</v>
      </c>
      <c r="Z75" s="69" t="s">
        <v>3061</v>
      </c>
      <c r="AA75" s="55"/>
      <c r="AB75" s="57">
        <v>1.43</v>
      </c>
      <c r="AC75" s="55">
        <v>15</v>
      </c>
      <c r="AD75" s="55">
        <v>30</v>
      </c>
      <c r="AE75" s="58">
        <v>42.9</v>
      </c>
      <c r="AF75" s="54"/>
      <c r="AG75" s="69"/>
      <c r="AH75" s="55"/>
      <c r="AI75" s="55"/>
      <c r="AJ75" s="55"/>
      <c r="AK75" s="55"/>
      <c r="AL75" s="56"/>
      <c r="AM75" s="54"/>
      <c r="AN75" s="69"/>
      <c r="AO75" s="55"/>
      <c r="AP75" s="55"/>
      <c r="AQ75" s="55"/>
      <c r="AR75" s="55"/>
      <c r="AS75" s="56"/>
      <c r="AT75" s="54"/>
      <c r="AU75" s="69"/>
      <c r="AV75" s="55"/>
      <c r="AW75" s="55"/>
      <c r="AX75" s="55"/>
      <c r="AY75" s="55"/>
      <c r="AZ75" s="56"/>
      <c r="BA75" s="65">
        <f t="shared" si="3"/>
        <v>128.4</v>
      </c>
      <c r="BB75" s="73">
        <f>VLOOKUP($C75,'REL. VT'!$C:Y,23,0)</f>
        <v>15</v>
      </c>
      <c r="BC75" s="74">
        <f>VLOOKUP($C75,'REL. VT'!$C:Z,24,0)</f>
        <v>2</v>
      </c>
      <c r="BD75" s="65">
        <f>VLOOKUP($C75,'REL. VT'!$C:AA,25,0)</f>
        <v>4.28</v>
      </c>
      <c r="BE75" s="97">
        <f>BB75*BC75*BD75</f>
        <v>128.4</v>
      </c>
      <c r="BF75" s="73"/>
      <c r="BG75" s="74"/>
      <c r="BH75" s="65"/>
      <c r="BI75" s="94"/>
      <c r="BJ75" s="73"/>
      <c r="BK75" s="74"/>
      <c r="BL75" s="65"/>
      <c r="BM75" s="94"/>
      <c r="BN75" s="65">
        <f t="shared" si="4"/>
        <v>128.4</v>
      </c>
      <c r="BO75" s="65" t="b">
        <f t="shared" si="5"/>
        <v>1</v>
      </c>
      <c r="BP75" s="70" t="s">
        <v>708</v>
      </c>
      <c r="BQ75" s="69" t="s">
        <v>1172</v>
      </c>
      <c r="BR75" s="55">
        <v>20</v>
      </c>
      <c r="BS75" s="57">
        <v>9.8000000000000007</v>
      </c>
      <c r="BT75" s="98">
        <v>196</v>
      </c>
      <c r="BU75" s="70" t="s">
        <v>3134</v>
      </c>
      <c r="BV75" s="69" t="s">
        <v>3135</v>
      </c>
      <c r="BW75" s="57">
        <v>0.01</v>
      </c>
      <c r="BX75" s="55"/>
      <c r="BY75" s="55">
        <v>1</v>
      </c>
      <c r="BZ75" s="58">
        <v>0.01</v>
      </c>
      <c r="CA75" s="70"/>
      <c r="CB75" s="69"/>
      <c r="CC75" s="55"/>
      <c r="CD75" s="55"/>
      <c r="CE75" s="55"/>
      <c r="CF75" s="56"/>
      <c r="CG75" s="5">
        <v>128.4</v>
      </c>
      <c r="CH75" s="5">
        <v>39.200000000000003</v>
      </c>
      <c r="CI75" s="3"/>
      <c r="CJ75" s="3"/>
      <c r="CK75" s="3"/>
      <c r="CL75" s="3"/>
      <c r="CM75" s="3"/>
      <c r="CN75" s="3"/>
      <c r="CO75" s="3"/>
      <c r="CP75" s="3"/>
    </row>
    <row r="76" spans="1:94">
      <c r="A76" s="3">
        <v>56000</v>
      </c>
      <c r="B76" s="4" t="s">
        <v>1488</v>
      </c>
      <c r="C76" s="4" t="s">
        <v>29</v>
      </c>
      <c r="D76" s="4" t="s">
        <v>306</v>
      </c>
      <c r="E76" s="4" t="s">
        <v>307</v>
      </c>
      <c r="F76" s="4" t="s">
        <v>1379</v>
      </c>
      <c r="G76" s="4" t="s">
        <v>1380</v>
      </c>
      <c r="H76" s="4" t="s">
        <v>1381</v>
      </c>
      <c r="I76" s="4" t="s">
        <v>188</v>
      </c>
      <c r="J76" s="4" t="s">
        <v>1362</v>
      </c>
      <c r="K76" s="3">
        <v>57</v>
      </c>
      <c r="L76" s="4" t="s">
        <v>0</v>
      </c>
      <c r="M76" s="4" t="s">
        <v>118</v>
      </c>
      <c r="N76" s="5">
        <v>2289.7600000000002</v>
      </c>
      <c r="O76" s="6">
        <v>40852</v>
      </c>
      <c r="P76" s="3"/>
      <c r="Q76" s="4" t="s">
        <v>2072</v>
      </c>
      <c r="R76" s="54"/>
      <c r="S76" s="69"/>
      <c r="T76" s="55"/>
      <c r="U76" s="55"/>
      <c r="V76" s="55"/>
      <c r="W76" s="55"/>
      <c r="X76" s="56"/>
      <c r="Y76" s="54"/>
      <c r="Z76" s="69"/>
      <c r="AA76" s="55"/>
      <c r="AB76" s="55"/>
      <c r="AC76" s="55"/>
      <c r="AD76" s="55"/>
      <c r="AE76" s="56"/>
      <c r="AF76" s="54"/>
      <c r="AG76" s="69"/>
      <c r="AH76" s="55"/>
      <c r="AI76" s="55"/>
      <c r="AJ76" s="55"/>
      <c r="AK76" s="55"/>
      <c r="AL76" s="56"/>
      <c r="AM76" s="54"/>
      <c r="AN76" s="69"/>
      <c r="AO76" s="55"/>
      <c r="AP76" s="55"/>
      <c r="AQ76" s="55"/>
      <c r="AR76" s="55"/>
      <c r="AS76" s="56"/>
      <c r="AT76" s="54"/>
      <c r="AU76" s="69"/>
      <c r="AV76" s="55"/>
      <c r="AW76" s="55"/>
      <c r="AX76" s="55"/>
      <c r="AY76" s="55"/>
      <c r="AZ76" s="56"/>
      <c r="BA76" s="65">
        <f t="shared" si="3"/>
        <v>0</v>
      </c>
      <c r="BB76" s="73"/>
      <c r="BC76" s="74"/>
      <c r="BD76" s="65"/>
      <c r="BE76" s="94"/>
      <c r="BF76" s="73"/>
      <c r="BG76" s="74"/>
      <c r="BH76" s="65"/>
      <c r="BI76" s="94"/>
      <c r="BJ76" s="73"/>
      <c r="BK76" s="74"/>
      <c r="BL76" s="65"/>
      <c r="BM76" s="94"/>
      <c r="BN76" s="65">
        <f t="shared" si="4"/>
        <v>0</v>
      </c>
      <c r="BO76" s="65" t="b">
        <f t="shared" si="5"/>
        <v>1</v>
      </c>
      <c r="BP76" s="70" t="s">
        <v>708</v>
      </c>
      <c r="BQ76" s="69" t="s">
        <v>1172</v>
      </c>
      <c r="BR76" s="55">
        <v>20</v>
      </c>
      <c r="BS76" s="57">
        <v>9.8000000000000007</v>
      </c>
      <c r="BT76" s="98">
        <v>196</v>
      </c>
      <c r="BU76" s="70" t="s">
        <v>3134</v>
      </c>
      <c r="BV76" s="69" t="s">
        <v>3135</v>
      </c>
      <c r="BW76" s="57">
        <v>0.01</v>
      </c>
      <c r="BX76" s="55"/>
      <c r="BY76" s="55">
        <v>1</v>
      </c>
      <c r="BZ76" s="58">
        <v>0.01</v>
      </c>
      <c r="CA76" s="70"/>
      <c r="CB76" s="69"/>
      <c r="CC76" s="55"/>
      <c r="CD76" s="55"/>
      <c r="CE76" s="55"/>
      <c r="CF76" s="56"/>
      <c r="CG76" s="3"/>
      <c r="CH76" s="5">
        <v>39.200000000000003</v>
      </c>
      <c r="CI76" s="3"/>
      <c r="CJ76" s="3"/>
      <c r="CK76" s="3"/>
      <c r="CL76" s="3"/>
      <c r="CM76" s="3"/>
      <c r="CN76" s="3"/>
      <c r="CO76" s="3"/>
      <c r="CP76" s="3"/>
    </row>
    <row r="77" spans="1:94">
      <c r="A77" s="3">
        <v>56036</v>
      </c>
      <c r="B77" s="4" t="s">
        <v>1489</v>
      </c>
      <c r="C77" s="4" t="s">
        <v>30</v>
      </c>
      <c r="D77" s="4" t="s">
        <v>306</v>
      </c>
      <c r="E77" s="4" t="s">
        <v>307</v>
      </c>
      <c r="F77" s="4" t="s">
        <v>1379</v>
      </c>
      <c r="G77" s="4" t="s">
        <v>1380</v>
      </c>
      <c r="H77" s="4" t="s">
        <v>1381</v>
      </c>
      <c r="I77" s="4" t="s">
        <v>188</v>
      </c>
      <c r="J77" s="4" t="s">
        <v>1362</v>
      </c>
      <c r="K77" s="3">
        <v>57</v>
      </c>
      <c r="L77" s="4" t="s">
        <v>0</v>
      </c>
      <c r="M77" s="4" t="s">
        <v>118</v>
      </c>
      <c r="N77" s="5">
        <v>2289.7600000000002</v>
      </c>
      <c r="O77" s="6">
        <v>40852</v>
      </c>
      <c r="P77" s="3"/>
      <c r="Q77" s="4" t="s">
        <v>2072</v>
      </c>
      <c r="R77" s="54">
        <v>4</v>
      </c>
      <c r="S77" s="69" t="s">
        <v>3060</v>
      </c>
      <c r="T77" s="55"/>
      <c r="U77" s="57">
        <v>2.85</v>
      </c>
      <c r="V77" s="55">
        <v>16</v>
      </c>
      <c r="W77" s="55">
        <v>32</v>
      </c>
      <c r="X77" s="58">
        <v>91.2</v>
      </c>
      <c r="Y77" s="54"/>
      <c r="Z77" s="69"/>
      <c r="AA77" s="55"/>
      <c r="AB77" s="55"/>
      <c r="AC77" s="55"/>
      <c r="AD77" s="55"/>
      <c r="AE77" s="56"/>
      <c r="AF77" s="54"/>
      <c r="AG77" s="69"/>
      <c r="AH77" s="55"/>
      <c r="AI77" s="55"/>
      <c r="AJ77" s="55"/>
      <c r="AK77" s="55"/>
      <c r="AL77" s="56"/>
      <c r="AM77" s="54"/>
      <c r="AN77" s="69"/>
      <c r="AO77" s="55"/>
      <c r="AP77" s="55"/>
      <c r="AQ77" s="55"/>
      <c r="AR77" s="55"/>
      <c r="AS77" s="56"/>
      <c r="AT77" s="54"/>
      <c r="AU77" s="69"/>
      <c r="AV77" s="55"/>
      <c r="AW77" s="55"/>
      <c r="AX77" s="55"/>
      <c r="AY77" s="55"/>
      <c r="AZ77" s="56"/>
      <c r="BA77" s="65">
        <f t="shared" si="3"/>
        <v>91.2</v>
      </c>
      <c r="BB77" s="73">
        <f>VLOOKUP($C77,'REL. VT'!$C:Y,23,0)</f>
        <v>16</v>
      </c>
      <c r="BC77" s="74">
        <f>VLOOKUP($C77,'REL. VT'!$C:Z,24,0)</f>
        <v>2</v>
      </c>
      <c r="BD77" s="65">
        <f>VLOOKUP($C77,'REL. VT'!$C:AA,25,0)</f>
        <v>2.85</v>
      </c>
      <c r="BE77" s="97">
        <f>BB77*BC77*BD77</f>
        <v>91.2</v>
      </c>
      <c r="BF77" s="73"/>
      <c r="BG77" s="74"/>
      <c r="BH77" s="65"/>
      <c r="BI77" s="94"/>
      <c r="BJ77" s="73"/>
      <c r="BK77" s="74"/>
      <c r="BL77" s="65"/>
      <c r="BM77" s="94"/>
      <c r="BN77" s="65">
        <f t="shared" si="4"/>
        <v>91.2</v>
      </c>
      <c r="BO77" s="65" t="b">
        <f t="shared" si="5"/>
        <v>1</v>
      </c>
      <c r="BP77" s="70" t="s">
        <v>708</v>
      </c>
      <c r="BQ77" s="69" t="s">
        <v>1172</v>
      </c>
      <c r="BR77" s="55">
        <v>20</v>
      </c>
      <c r="BS77" s="57">
        <v>9.8000000000000007</v>
      </c>
      <c r="BT77" s="98">
        <v>196</v>
      </c>
      <c r="BU77" s="70" t="s">
        <v>3134</v>
      </c>
      <c r="BV77" s="69" t="s">
        <v>3135</v>
      </c>
      <c r="BW77" s="57">
        <v>0.01</v>
      </c>
      <c r="BX77" s="55"/>
      <c r="BY77" s="55">
        <v>1</v>
      </c>
      <c r="BZ77" s="58">
        <v>0.01</v>
      </c>
      <c r="CA77" s="70"/>
      <c r="CB77" s="69"/>
      <c r="CC77" s="55"/>
      <c r="CD77" s="55"/>
      <c r="CE77" s="55"/>
      <c r="CF77" s="56"/>
      <c r="CG77" s="5">
        <v>91.2</v>
      </c>
      <c r="CH77" s="5">
        <v>39.200000000000003</v>
      </c>
      <c r="CI77" s="3"/>
      <c r="CJ77" s="3"/>
      <c r="CK77" s="3"/>
      <c r="CL77" s="3"/>
      <c r="CM77" s="3"/>
      <c r="CN77" s="3"/>
      <c r="CO77" s="3"/>
      <c r="CP77" s="3"/>
    </row>
    <row r="78" spans="1:94">
      <c r="A78" s="3">
        <v>56140</v>
      </c>
      <c r="B78" s="4" t="s">
        <v>1490</v>
      </c>
      <c r="C78" s="4" t="s">
        <v>86</v>
      </c>
      <c r="D78" s="4" t="s">
        <v>189</v>
      </c>
      <c r="E78" s="4" t="s">
        <v>190</v>
      </c>
      <c r="F78" s="4" t="s">
        <v>1359</v>
      </c>
      <c r="G78" s="4" t="s">
        <v>1360</v>
      </c>
      <c r="H78" s="4" t="s">
        <v>1361</v>
      </c>
      <c r="I78" s="4" t="s">
        <v>188</v>
      </c>
      <c r="J78" s="4" t="s">
        <v>1362</v>
      </c>
      <c r="K78" s="3">
        <v>57</v>
      </c>
      <c r="L78" s="4" t="s">
        <v>0</v>
      </c>
      <c r="M78" s="4" t="s">
        <v>329</v>
      </c>
      <c r="N78" s="5">
        <v>2110.38</v>
      </c>
      <c r="O78" s="6">
        <v>40852</v>
      </c>
      <c r="P78" s="3"/>
      <c r="Q78" s="4" t="s">
        <v>2072</v>
      </c>
      <c r="R78" s="54"/>
      <c r="S78" s="69"/>
      <c r="T78" s="55"/>
      <c r="U78" s="55"/>
      <c r="V78" s="55"/>
      <c r="W78" s="55"/>
      <c r="X78" s="56"/>
      <c r="Y78" s="54"/>
      <c r="Z78" s="69"/>
      <c r="AA78" s="55"/>
      <c r="AB78" s="55"/>
      <c r="AC78" s="55"/>
      <c r="AD78" s="55"/>
      <c r="AE78" s="56"/>
      <c r="AF78" s="54"/>
      <c r="AG78" s="69"/>
      <c r="AH78" s="55"/>
      <c r="AI78" s="55"/>
      <c r="AJ78" s="55"/>
      <c r="AK78" s="55"/>
      <c r="AL78" s="56"/>
      <c r="AM78" s="54"/>
      <c r="AN78" s="69"/>
      <c r="AO78" s="55"/>
      <c r="AP78" s="55"/>
      <c r="AQ78" s="55"/>
      <c r="AR78" s="55"/>
      <c r="AS78" s="56"/>
      <c r="AT78" s="54"/>
      <c r="AU78" s="69"/>
      <c r="AV78" s="55"/>
      <c r="AW78" s="55"/>
      <c r="AX78" s="55"/>
      <c r="AY78" s="55"/>
      <c r="AZ78" s="56"/>
      <c r="BA78" s="65">
        <f t="shared" si="3"/>
        <v>0</v>
      </c>
      <c r="BB78" s="73"/>
      <c r="BC78" s="74"/>
      <c r="BD78" s="65"/>
      <c r="BE78" s="94"/>
      <c r="BF78" s="73"/>
      <c r="BG78" s="74"/>
      <c r="BH78" s="65"/>
      <c r="BI78" s="94"/>
      <c r="BJ78" s="73"/>
      <c r="BK78" s="74"/>
      <c r="BL78" s="65"/>
      <c r="BM78" s="94"/>
      <c r="BN78" s="65">
        <f t="shared" si="4"/>
        <v>0</v>
      </c>
      <c r="BO78" s="65" t="b">
        <f t="shared" si="5"/>
        <v>1</v>
      </c>
      <c r="BP78" s="70" t="s">
        <v>708</v>
      </c>
      <c r="BQ78" s="69" t="s">
        <v>1172</v>
      </c>
      <c r="BR78" s="55">
        <v>21</v>
      </c>
      <c r="BS78" s="57">
        <v>9.8000000000000007</v>
      </c>
      <c r="BT78" s="98">
        <v>205.8</v>
      </c>
      <c r="BU78" s="70" t="s">
        <v>3134</v>
      </c>
      <c r="BV78" s="69" t="s">
        <v>3135</v>
      </c>
      <c r="BW78" s="57">
        <v>0.01</v>
      </c>
      <c r="BX78" s="55"/>
      <c r="BY78" s="55">
        <v>1</v>
      </c>
      <c r="BZ78" s="58">
        <v>0.01</v>
      </c>
      <c r="CA78" s="70"/>
      <c r="CB78" s="69"/>
      <c r="CC78" s="55"/>
      <c r="CD78" s="55"/>
      <c r="CE78" s="55"/>
      <c r="CF78" s="56"/>
      <c r="CG78" s="3"/>
      <c r="CH78" s="5">
        <v>41.16</v>
      </c>
      <c r="CI78" s="3"/>
      <c r="CJ78" s="3"/>
      <c r="CK78" s="3"/>
      <c r="CL78" s="3"/>
      <c r="CM78" s="3"/>
      <c r="CN78" s="3"/>
      <c r="CO78" s="3"/>
      <c r="CP78" s="3"/>
    </row>
    <row r="79" spans="1:94">
      <c r="A79" s="3">
        <v>56021</v>
      </c>
      <c r="B79" s="4" t="s">
        <v>1491</v>
      </c>
      <c r="C79" s="4" t="s">
        <v>31</v>
      </c>
      <c r="D79" s="4" t="s">
        <v>306</v>
      </c>
      <c r="E79" s="4" t="s">
        <v>307</v>
      </c>
      <c r="F79" s="4" t="s">
        <v>1379</v>
      </c>
      <c r="G79" s="4" t="s">
        <v>1380</v>
      </c>
      <c r="H79" s="4" t="s">
        <v>1381</v>
      </c>
      <c r="I79" s="4" t="s">
        <v>188</v>
      </c>
      <c r="J79" s="4" t="s">
        <v>1362</v>
      </c>
      <c r="K79" s="3">
        <v>57</v>
      </c>
      <c r="L79" s="4" t="s">
        <v>0</v>
      </c>
      <c r="M79" s="4" t="s">
        <v>118</v>
      </c>
      <c r="N79" s="5">
        <v>2289.7600000000002</v>
      </c>
      <c r="O79" s="6">
        <v>40852</v>
      </c>
      <c r="P79" s="3"/>
      <c r="Q79" s="4" t="s">
        <v>2072</v>
      </c>
      <c r="R79" s="54"/>
      <c r="S79" s="69"/>
      <c r="T79" s="55"/>
      <c r="U79" s="55"/>
      <c r="V79" s="55"/>
      <c r="W79" s="55"/>
      <c r="X79" s="56"/>
      <c r="Y79" s="54"/>
      <c r="Z79" s="69"/>
      <c r="AA79" s="55"/>
      <c r="AB79" s="55"/>
      <c r="AC79" s="55"/>
      <c r="AD79" s="55"/>
      <c r="AE79" s="56"/>
      <c r="AF79" s="54"/>
      <c r="AG79" s="69"/>
      <c r="AH79" s="55"/>
      <c r="AI79" s="55"/>
      <c r="AJ79" s="55"/>
      <c r="AK79" s="55"/>
      <c r="AL79" s="56"/>
      <c r="AM79" s="54"/>
      <c r="AN79" s="69"/>
      <c r="AO79" s="55"/>
      <c r="AP79" s="55"/>
      <c r="AQ79" s="55"/>
      <c r="AR79" s="55"/>
      <c r="AS79" s="56"/>
      <c r="AT79" s="54"/>
      <c r="AU79" s="69"/>
      <c r="AV79" s="55"/>
      <c r="AW79" s="55"/>
      <c r="AX79" s="55"/>
      <c r="AY79" s="55"/>
      <c r="AZ79" s="56"/>
      <c r="BA79" s="65">
        <f t="shared" si="3"/>
        <v>0</v>
      </c>
      <c r="BB79" s="73"/>
      <c r="BC79" s="74"/>
      <c r="BD79" s="65"/>
      <c r="BE79" s="94"/>
      <c r="BF79" s="73"/>
      <c r="BG79" s="74"/>
      <c r="BH79" s="65"/>
      <c r="BI79" s="94"/>
      <c r="BJ79" s="73"/>
      <c r="BK79" s="74"/>
      <c r="BL79" s="65"/>
      <c r="BM79" s="94"/>
      <c r="BN79" s="65">
        <f t="shared" si="4"/>
        <v>0</v>
      </c>
      <c r="BO79" s="65" t="b">
        <f t="shared" si="5"/>
        <v>1</v>
      </c>
      <c r="BP79" s="70" t="s">
        <v>708</v>
      </c>
      <c r="BQ79" s="69" t="s">
        <v>1172</v>
      </c>
      <c r="BR79" s="55">
        <v>20</v>
      </c>
      <c r="BS79" s="57">
        <v>9.8000000000000007</v>
      </c>
      <c r="BT79" s="98">
        <v>196</v>
      </c>
      <c r="BU79" s="70" t="s">
        <v>3134</v>
      </c>
      <c r="BV79" s="69" t="s">
        <v>3135</v>
      </c>
      <c r="BW79" s="57">
        <v>0.01</v>
      </c>
      <c r="BX79" s="55"/>
      <c r="BY79" s="55">
        <v>1</v>
      </c>
      <c r="BZ79" s="58">
        <v>0.01</v>
      </c>
      <c r="CA79" s="70"/>
      <c r="CB79" s="69"/>
      <c r="CC79" s="55"/>
      <c r="CD79" s="55"/>
      <c r="CE79" s="55"/>
      <c r="CF79" s="56"/>
      <c r="CG79" s="3"/>
      <c r="CH79" s="5">
        <v>39.200000000000003</v>
      </c>
      <c r="CI79" s="3"/>
      <c r="CJ79" s="3"/>
      <c r="CK79" s="3"/>
      <c r="CL79" s="3"/>
      <c r="CM79" s="3"/>
      <c r="CN79" s="3"/>
      <c r="CO79" s="3"/>
      <c r="CP79" s="3"/>
    </row>
    <row r="80" spans="1:94">
      <c r="A80" s="3">
        <v>75599</v>
      </c>
      <c r="B80" s="4" t="s">
        <v>3088</v>
      </c>
      <c r="C80" s="4" t="s">
        <v>1006</v>
      </c>
      <c r="D80" s="4" t="s">
        <v>795</v>
      </c>
      <c r="E80" s="4" t="s">
        <v>796</v>
      </c>
      <c r="F80" s="4" t="s">
        <v>1460</v>
      </c>
      <c r="G80" s="4" t="s">
        <v>1461</v>
      </c>
      <c r="H80" s="4" t="s">
        <v>1462</v>
      </c>
      <c r="I80" s="4" t="s">
        <v>188</v>
      </c>
      <c r="J80" s="4" t="s">
        <v>1362</v>
      </c>
      <c r="K80" s="3">
        <v>57</v>
      </c>
      <c r="L80" s="4" t="s">
        <v>0</v>
      </c>
      <c r="M80" s="4" t="s">
        <v>1208</v>
      </c>
      <c r="N80" s="5">
        <v>2110.38</v>
      </c>
      <c r="O80" s="6">
        <v>41835</v>
      </c>
      <c r="P80" s="6">
        <v>41853</v>
      </c>
      <c r="Q80" s="4" t="s">
        <v>3100</v>
      </c>
      <c r="R80" s="54"/>
      <c r="S80" s="69"/>
      <c r="T80" s="55"/>
      <c r="U80" s="55"/>
      <c r="V80" s="55"/>
      <c r="W80" s="55"/>
      <c r="X80" s="56"/>
      <c r="Y80" s="54"/>
      <c r="Z80" s="69"/>
      <c r="AA80" s="55"/>
      <c r="AB80" s="55"/>
      <c r="AC80" s="55"/>
      <c r="AD80" s="55"/>
      <c r="AE80" s="56"/>
      <c r="AF80" s="54"/>
      <c r="AG80" s="69"/>
      <c r="AH80" s="55"/>
      <c r="AI80" s="55"/>
      <c r="AJ80" s="55"/>
      <c r="AK80" s="55"/>
      <c r="AL80" s="56"/>
      <c r="AM80" s="54"/>
      <c r="AN80" s="69"/>
      <c r="AO80" s="55"/>
      <c r="AP80" s="55"/>
      <c r="AQ80" s="55"/>
      <c r="AR80" s="55"/>
      <c r="AS80" s="56"/>
      <c r="AT80" s="54"/>
      <c r="AU80" s="69"/>
      <c r="AV80" s="55"/>
      <c r="AW80" s="55"/>
      <c r="AX80" s="55"/>
      <c r="AY80" s="55"/>
      <c r="AZ80" s="56"/>
      <c r="BA80" s="65">
        <f t="shared" si="3"/>
        <v>0</v>
      </c>
      <c r="BB80" s="73"/>
      <c r="BC80" s="74"/>
      <c r="BD80" s="65"/>
      <c r="BE80" s="94"/>
      <c r="BF80" s="73"/>
      <c r="BG80" s="74"/>
      <c r="BH80" s="65"/>
      <c r="BI80" s="94"/>
      <c r="BJ80" s="73"/>
      <c r="BK80" s="74"/>
      <c r="BL80" s="65"/>
      <c r="BM80" s="94"/>
      <c r="BN80" s="65">
        <f t="shared" si="4"/>
        <v>0</v>
      </c>
      <c r="BO80" s="65" t="b">
        <f t="shared" si="5"/>
        <v>1</v>
      </c>
      <c r="BP80" s="70" t="s">
        <v>708</v>
      </c>
      <c r="BQ80" s="69" t="s">
        <v>1172</v>
      </c>
      <c r="BR80" s="55">
        <v>20</v>
      </c>
      <c r="BS80" s="57">
        <v>9.8000000000000007</v>
      </c>
      <c r="BT80" s="98">
        <v>196</v>
      </c>
      <c r="BU80" s="70"/>
      <c r="BV80" s="69"/>
      <c r="BW80" s="55"/>
      <c r="BX80" s="55"/>
      <c r="BY80" s="55"/>
      <c r="BZ80" s="56"/>
      <c r="CA80" s="70"/>
      <c r="CB80" s="69"/>
      <c r="CC80" s="55"/>
      <c r="CD80" s="55"/>
      <c r="CE80" s="55"/>
      <c r="CF80" s="56"/>
      <c r="CG80" s="3"/>
      <c r="CH80" s="3"/>
      <c r="CI80" s="3"/>
      <c r="CJ80" s="3"/>
      <c r="CK80" s="3"/>
      <c r="CL80" s="3"/>
      <c r="CM80" s="3"/>
      <c r="CN80" s="3"/>
      <c r="CO80" s="3"/>
      <c r="CP80" s="3"/>
    </row>
    <row r="81" spans="1:94">
      <c r="A81" s="3">
        <v>75630</v>
      </c>
      <c r="B81" s="4" t="s">
        <v>3089</v>
      </c>
      <c r="C81" s="4" t="s">
        <v>3090</v>
      </c>
      <c r="D81" s="4" t="s">
        <v>653</v>
      </c>
      <c r="E81" s="4" t="s">
        <v>654</v>
      </c>
      <c r="F81" s="4" t="s">
        <v>1438</v>
      </c>
      <c r="G81" s="4" t="s">
        <v>1439</v>
      </c>
      <c r="H81" s="4" t="s">
        <v>1440</v>
      </c>
      <c r="I81" s="4" t="s">
        <v>188</v>
      </c>
      <c r="J81" s="4" t="s">
        <v>1362</v>
      </c>
      <c r="K81" s="3">
        <v>57</v>
      </c>
      <c r="L81" s="4" t="s">
        <v>0</v>
      </c>
      <c r="M81" s="4" t="s">
        <v>1441</v>
      </c>
      <c r="N81" s="5">
        <v>2289.7600000000002</v>
      </c>
      <c r="O81" s="6">
        <v>41837</v>
      </c>
      <c r="P81" s="3"/>
      <c r="Q81" s="4" t="s">
        <v>2072</v>
      </c>
      <c r="R81" s="54"/>
      <c r="S81" s="69"/>
      <c r="T81" s="55"/>
      <c r="U81" s="55"/>
      <c r="V81" s="55"/>
      <c r="W81" s="55"/>
      <c r="X81" s="56"/>
      <c r="Y81" s="54"/>
      <c r="Z81" s="69"/>
      <c r="AA81" s="55"/>
      <c r="AB81" s="55"/>
      <c r="AC81" s="55"/>
      <c r="AD81" s="55"/>
      <c r="AE81" s="56"/>
      <c r="AF81" s="54"/>
      <c r="AG81" s="69"/>
      <c r="AH81" s="55"/>
      <c r="AI81" s="55"/>
      <c r="AJ81" s="55"/>
      <c r="AK81" s="55"/>
      <c r="AL81" s="56"/>
      <c r="AM81" s="54"/>
      <c r="AN81" s="69"/>
      <c r="AO81" s="55"/>
      <c r="AP81" s="55"/>
      <c r="AQ81" s="55"/>
      <c r="AR81" s="55"/>
      <c r="AS81" s="56"/>
      <c r="AT81" s="54"/>
      <c r="AU81" s="69"/>
      <c r="AV81" s="55"/>
      <c r="AW81" s="55"/>
      <c r="AX81" s="55"/>
      <c r="AY81" s="55"/>
      <c r="AZ81" s="56"/>
      <c r="BA81" s="65">
        <f t="shared" si="3"/>
        <v>0</v>
      </c>
      <c r="BB81" s="73"/>
      <c r="BC81" s="74"/>
      <c r="BD81" s="65"/>
      <c r="BE81" s="94"/>
      <c r="BF81" s="73"/>
      <c r="BG81" s="74"/>
      <c r="BH81" s="65"/>
      <c r="BI81" s="94"/>
      <c r="BJ81" s="73"/>
      <c r="BK81" s="74"/>
      <c r="BL81" s="65"/>
      <c r="BM81" s="94"/>
      <c r="BN81" s="65">
        <f t="shared" si="4"/>
        <v>0</v>
      </c>
      <c r="BO81" s="65" t="b">
        <f t="shared" si="5"/>
        <v>1</v>
      </c>
      <c r="BP81" s="70" t="s">
        <v>708</v>
      </c>
      <c r="BQ81" s="69" t="s">
        <v>1172</v>
      </c>
      <c r="BR81" s="55">
        <v>20</v>
      </c>
      <c r="BS81" s="57">
        <v>9.8000000000000007</v>
      </c>
      <c r="BT81" s="98">
        <v>196</v>
      </c>
      <c r="BU81" s="70" t="s">
        <v>3134</v>
      </c>
      <c r="BV81" s="69" t="s">
        <v>3135</v>
      </c>
      <c r="BW81" s="57">
        <v>0.01</v>
      </c>
      <c r="BX81" s="55"/>
      <c r="BY81" s="55">
        <v>1</v>
      </c>
      <c r="BZ81" s="58">
        <v>0.01</v>
      </c>
      <c r="CA81" s="70" t="s">
        <v>708</v>
      </c>
      <c r="CB81" s="69" t="s">
        <v>1172</v>
      </c>
      <c r="CC81" s="57">
        <v>9.8000000000000007</v>
      </c>
      <c r="CD81" s="55"/>
      <c r="CE81" s="85">
        <v>11</v>
      </c>
      <c r="CF81" s="86">
        <v>107.8</v>
      </c>
      <c r="CG81" s="3"/>
      <c r="CH81" s="5">
        <v>60.76</v>
      </c>
      <c r="CI81" s="3"/>
      <c r="CJ81" s="3"/>
      <c r="CK81" s="3"/>
      <c r="CL81" s="3"/>
      <c r="CM81" s="3"/>
      <c r="CN81" s="3"/>
      <c r="CO81" s="3"/>
      <c r="CP81" s="3"/>
    </row>
    <row r="82" spans="1:94">
      <c r="A82" s="3">
        <v>56003</v>
      </c>
      <c r="B82" s="4" t="s">
        <v>1492</v>
      </c>
      <c r="C82" s="4" t="s">
        <v>32</v>
      </c>
      <c r="D82" s="4" t="s">
        <v>306</v>
      </c>
      <c r="E82" s="4" t="s">
        <v>307</v>
      </c>
      <c r="F82" s="4" t="s">
        <v>1379</v>
      </c>
      <c r="G82" s="4" t="s">
        <v>1380</v>
      </c>
      <c r="H82" s="4" t="s">
        <v>1381</v>
      </c>
      <c r="I82" s="4" t="s">
        <v>188</v>
      </c>
      <c r="J82" s="4" t="s">
        <v>1362</v>
      </c>
      <c r="K82" s="3">
        <v>57</v>
      </c>
      <c r="L82" s="4" t="s">
        <v>0</v>
      </c>
      <c r="M82" s="4" t="s">
        <v>118</v>
      </c>
      <c r="N82" s="5">
        <v>2289.7600000000002</v>
      </c>
      <c r="O82" s="6">
        <v>40852</v>
      </c>
      <c r="P82" s="3"/>
      <c r="Q82" s="4" t="s">
        <v>2072</v>
      </c>
      <c r="R82" s="54"/>
      <c r="S82" s="69"/>
      <c r="T82" s="55"/>
      <c r="U82" s="55"/>
      <c r="V82" s="55"/>
      <c r="W82" s="55"/>
      <c r="X82" s="56"/>
      <c r="Y82" s="54"/>
      <c r="Z82" s="69"/>
      <c r="AA82" s="55"/>
      <c r="AB82" s="55"/>
      <c r="AC82" s="55"/>
      <c r="AD82" s="55"/>
      <c r="AE82" s="56"/>
      <c r="AF82" s="54"/>
      <c r="AG82" s="69"/>
      <c r="AH82" s="55"/>
      <c r="AI82" s="55"/>
      <c r="AJ82" s="55"/>
      <c r="AK82" s="55"/>
      <c r="AL82" s="56"/>
      <c r="AM82" s="54"/>
      <c r="AN82" s="69"/>
      <c r="AO82" s="55"/>
      <c r="AP82" s="55"/>
      <c r="AQ82" s="55"/>
      <c r="AR82" s="55"/>
      <c r="AS82" s="56"/>
      <c r="AT82" s="54"/>
      <c r="AU82" s="69"/>
      <c r="AV82" s="55"/>
      <c r="AW82" s="55"/>
      <c r="AX82" s="55"/>
      <c r="AY82" s="55"/>
      <c r="AZ82" s="56"/>
      <c r="BA82" s="65">
        <f t="shared" si="3"/>
        <v>0</v>
      </c>
      <c r="BB82" s="73"/>
      <c r="BC82" s="74"/>
      <c r="BD82" s="65"/>
      <c r="BE82" s="94"/>
      <c r="BF82" s="73"/>
      <c r="BG82" s="74"/>
      <c r="BH82" s="65"/>
      <c r="BI82" s="94"/>
      <c r="BJ82" s="73"/>
      <c r="BK82" s="74"/>
      <c r="BL82" s="65"/>
      <c r="BM82" s="94"/>
      <c r="BN82" s="65">
        <f t="shared" si="4"/>
        <v>0</v>
      </c>
      <c r="BO82" s="65" t="b">
        <f t="shared" si="5"/>
        <v>1</v>
      </c>
      <c r="BP82" s="70" t="s">
        <v>708</v>
      </c>
      <c r="BQ82" s="69" t="s">
        <v>1172</v>
      </c>
      <c r="BR82" s="55">
        <v>20</v>
      </c>
      <c r="BS82" s="57">
        <v>9.8000000000000007</v>
      </c>
      <c r="BT82" s="98">
        <v>196</v>
      </c>
      <c r="BU82" s="70" t="s">
        <v>3134</v>
      </c>
      <c r="BV82" s="69" t="s">
        <v>3135</v>
      </c>
      <c r="BW82" s="57">
        <v>0.01</v>
      </c>
      <c r="BX82" s="55"/>
      <c r="BY82" s="55">
        <v>1</v>
      </c>
      <c r="BZ82" s="58">
        <v>0.01</v>
      </c>
      <c r="CA82" s="70"/>
      <c r="CB82" s="69"/>
      <c r="CC82" s="55"/>
      <c r="CD82" s="55"/>
      <c r="CE82" s="55"/>
      <c r="CF82" s="56"/>
      <c r="CG82" s="3"/>
      <c r="CH82" s="5">
        <v>39.200000000000003</v>
      </c>
      <c r="CI82" s="3"/>
      <c r="CJ82" s="3"/>
      <c r="CK82" s="3"/>
      <c r="CL82" s="3"/>
      <c r="CM82" s="3"/>
      <c r="CN82" s="3"/>
      <c r="CO82" s="3"/>
      <c r="CP82" s="3"/>
    </row>
    <row r="83" spans="1:94">
      <c r="A83" s="3">
        <v>56063</v>
      </c>
      <c r="B83" s="4" t="s">
        <v>1493</v>
      </c>
      <c r="C83" s="4" t="s">
        <v>33</v>
      </c>
      <c r="D83" s="4" t="s">
        <v>306</v>
      </c>
      <c r="E83" s="4" t="s">
        <v>307</v>
      </c>
      <c r="F83" s="4" t="s">
        <v>1379</v>
      </c>
      <c r="G83" s="4" t="s">
        <v>1380</v>
      </c>
      <c r="H83" s="4" t="s">
        <v>1381</v>
      </c>
      <c r="I83" s="4" t="s">
        <v>188</v>
      </c>
      <c r="J83" s="4" t="s">
        <v>1362</v>
      </c>
      <c r="K83" s="3">
        <v>57</v>
      </c>
      <c r="L83" s="4" t="s">
        <v>0</v>
      </c>
      <c r="M83" s="4" t="s">
        <v>118</v>
      </c>
      <c r="N83" s="5">
        <v>2289.7600000000002</v>
      </c>
      <c r="O83" s="6">
        <v>40852</v>
      </c>
      <c r="P83" s="3"/>
      <c r="Q83" s="4" t="s">
        <v>2072</v>
      </c>
      <c r="R83" s="54"/>
      <c r="S83" s="69"/>
      <c r="T83" s="55"/>
      <c r="U83" s="55"/>
      <c r="V83" s="55"/>
      <c r="W83" s="55"/>
      <c r="X83" s="56"/>
      <c r="Y83" s="54"/>
      <c r="Z83" s="69"/>
      <c r="AA83" s="55"/>
      <c r="AB83" s="55"/>
      <c r="AC83" s="55"/>
      <c r="AD83" s="55"/>
      <c r="AE83" s="56"/>
      <c r="AF83" s="54"/>
      <c r="AG83" s="69"/>
      <c r="AH83" s="55"/>
      <c r="AI83" s="55"/>
      <c r="AJ83" s="55"/>
      <c r="AK83" s="55"/>
      <c r="AL83" s="56"/>
      <c r="AM83" s="54"/>
      <c r="AN83" s="69"/>
      <c r="AO83" s="55"/>
      <c r="AP83" s="55"/>
      <c r="AQ83" s="55"/>
      <c r="AR83" s="55"/>
      <c r="AS83" s="56"/>
      <c r="AT83" s="54"/>
      <c r="AU83" s="69"/>
      <c r="AV83" s="55"/>
      <c r="AW83" s="55"/>
      <c r="AX83" s="55"/>
      <c r="AY83" s="55"/>
      <c r="AZ83" s="56"/>
      <c r="BA83" s="65">
        <f t="shared" si="3"/>
        <v>0</v>
      </c>
      <c r="BB83" s="73"/>
      <c r="BC83" s="74"/>
      <c r="BD83" s="65"/>
      <c r="BE83" s="94"/>
      <c r="BF83" s="73"/>
      <c r="BG83" s="74"/>
      <c r="BH83" s="65"/>
      <c r="BI83" s="94"/>
      <c r="BJ83" s="73"/>
      <c r="BK83" s="74"/>
      <c r="BL83" s="65"/>
      <c r="BM83" s="94"/>
      <c r="BN83" s="65">
        <f t="shared" si="4"/>
        <v>0</v>
      </c>
      <c r="BO83" s="65" t="b">
        <f t="shared" si="5"/>
        <v>1</v>
      </c>
      <c r="BP83" s="70" t="s">
        <v>708</v>
      </c>
      <c r="BQ83" s="69" t="s">
        <v>1172</v>
      </c>
      <c r="BR83" s="55">
        <v>20</v>
      </c>
      <c r="BS83" s="57">
        <v>9.8000000000000007</v>
      </c>
      <c r="BT83" s="98">
        <v>196</v>
      </c>
      <c r="BU83" s="70" t="s">
        <v>3134</v>
      </c>
      <c r="BV83" s="69" t="s">
        <v>3135</v>
      </c>
      <c r="BW83" s="57">
        <v>0.01</v>
      </c>
      <c r="BX83" s="55"/>
      <c r="BY83" s="55">
        <v>1</v>
      </c>
      <c r="BZ83" s="58">
        <v>0.01</v>
      </c>
      <c r="CA83" s="70"/>
      <c r="CB83" s="69"/>
      <c r="CC83" s="55"/>
      <c r="CD83" s="55"/>
      <c r="CE83" s="55"/>
      <c r="CF83" s="56"/>
      <c r="CG83" s="3"/>
      <c r="CH83" s="5">
        <v>39.200000000000003</v>
      </c>
      <c r="CI83" s="3"/>
      <c r="CJ83" s="3"/>
      <c r="CK83" s="3"/>
      <c r="CL83" s="3"/>
      <c r="CM83" s="3"/>
      <c r="CN83" s="3"/>
      <c r="CO83" s="3"/>
      <c r="CP83" s="3"/>
    </row>
    <row r="84" spans="1:94">
      <c r="A84" s="3">
        <v>56039</v>
      </c>
      <c r="B84" s="4" t="s">
        <v>1494</v>
      </c>
      <c r="C84" s="4" t="s">
        <v>34</v>
      </c>
      <c r="D84" s="4" t="s">
        <v>306</v>
      </c>
      <c r="E84" s="4" t="s">
        <v>307</v>
      </c>
      <c r="F84" s="4" t="s">
        <v>1379</v>
      </c>
      <c r="G84" s="4" t="s">
        <v>1380</v>
      </c>
      <c r="H84" s="4" t="s">
        <v>1381</v>
      </c>
      <c r="I84" s="4" t="s">
        <v>188</v>
      </c>
      <c r="J84" s="4" t="s">
        <v>1362</v>
      </c>
      <c r="K84" s="3">
        <v>57</v>
      </c>
      <c r="L84" s="4" t="s">
        <v>0</v>
      </c>
      <c r="M84" s="4" t="s">
        <v>118</v>
      </c>
      <c r="N84" s="5">
        <v>2289.7600000000002</v>
      </c>
      <c r="O84" s="6">
        <v>40852</v>
      </c>
      <c r="P84" s="3"/>
      <c r="Q84" s="4" t="s">
        <v>2072</v>
      </c>
      <c r="R84" s="54">
        <v>4</v>
      </c>
      <c r="S84" s="69" t="s">
        <v>3060</v>
      </c>
      <c r="T84" s="55"/>
      <c r="U84" s="57">
        <v>2.85</v>
      </c>
      <c r="V84" s="55">
        <v>17</v>
      </c>
      <c r="W84" s="55">
        <v>34</v>
      </c>
      <c r="X84" s="58">
        <v>96.9</v>
      </c>
      <c r="Y84" s="54"/>
      <c r="Z84" s="69"/>
      <c r="AA84" s="55"/>
      <c r="AB84" s="55"/>
      <c r="AC84" s="55"/>
      <c r="AD84" s="55"/>
      <c r="AE84" s="56"/>
      <c r="AF84" s="54"/>
      <c r="AG84" s="69"/>
      <c r="AH84" s="55"/>
      <c r="AI84" s="55"/>
      <c r="AJ84" s="55"/>
      <c r="AK84" s="55"/>
      <c r="AL84" s="56"/>
      <c r="AM84" s="54"/>
      <c r="AN84" s="69"/>
      <c r="AO84" s="55"/>
      <c r="AP84" s="55"/>
      <c r="AQ84" s="55"/>
      <c r="AR84" s="55"/>
      <c r="AS84" s="56"/>
      <c r="AT84" s="54"/>
      <c r="AU84" s="69"/>
      <c r="AV84" s="55"/>
      <c r="AW84" s="55"/>
      <c r="AX84" s="55"/>
      <c r="AY84" s="55"/>
      <c r="AZ84" s="56"/>
      <c r="BA84" s="65">
        <f t="shared" si="3"/>
        <v>96.9</v>
      </c>
      <c r="BB84" s="73">
        <f>VLOOKUP($C84,'REL. VT'!$C:Y,23,0)</f>
        <v>17</v>
      </c>
      <c r="BC84" s="74">
        <f>VLOOKUP($C84,'REL. VT'!$C:Z,24,0)</f>
        <v>2</v>
      </c>
      <c r="BD84" s="65">
        <f>VLOOKUP($C84,'REL. VT'!$C:AA,25,0)</f>
        <v>2.85</v>
      </c>
      <c r="BE84" s="97">
        <f>BB84*BC84*BD84</f>
        <v>96.9</v>
      </c>
      <c r="BF84" s="73"/>
      <c r="BG84" s="74"/>
      <c r="BH84" s="65"/>
      <c r="BI84" s="94"/>
      <c r="BJ84" s="73"/>
      <c r="BK84" s="74"/>
      <c r="BL84" s="65"/>
      <c r="BM84" s="94"/>
      <c r="BN84" s="65">
        <f t="shared" si="4"/>
        <v>96.9</v>
      </c>
      <c r="BO84" s="65" t="b">
        <f t="shared" si="5"/>
        <v>1</v>
      </c>
      <c r="BP84" s="70" t="s">
        <v>708</v>
      </c>
      <c r="BQ84" s="69" t="s">
        <v>1172</v>
      </c>
      <c r="BR84" s="55">
        <v>20</v>
      </c>
      <c r="BS84" s="57">
        <v>9.8000000000000007</v>
      </c>
      <c r="BT84" s="98">
        <v>196</v>
      </c>
      <c r="BU84" s="70" t="s">
        <v>3134</v>
      </c>
      <c r="BV84" s="69" t="s">
        <v>3135</v>
      </c>
      <c r="BW84" s="57">
        <v>0.01</v>
      </c>
      <c r="BX84" s="55"/>
      <c r="BY84" s="55">
        <v>1</v>
      </c>
      <c r="BZ84" s="58">
        <v>0.01</v>
      </c>
      <c r="CA84" s="70"/>
      <c r="CB84" s="69"/>
      <c r="CC84" s="55"/>
      <c r="CD84" s="55"/>
      <c r="CE84" s="55"/>
      <c r="CF84" s="56"/>
      <c r="CG84" s="5">
        <v>96.9</v>
      </c>
      <c r="CH84" s="5">
        <v>39.200000000000003</v>
      </c>
      <c r="CI84" s="3"/>
      <c r="CJ84" s="3"/>
      <c r="CK84" s="3"/>
      <c r="CL84" s="3"/>
      <c r="CM84" s="3"/>
      <c r="CN84" s="3"/>
      <c r="CO84" s="3"/>
      <c r="CP84" s="3"/>
    </row>
    <row r="85" spans="1:94">
      <c r="A85" s="3">
        <v>56020</v>
      </c>
      <c r="B85" s="4" t="s">
        <v>1495</v>
      </c>
      <c r="C85" s="4" t="s">
        <v>35</v>
      </c>
      <c r="D85" s="4" t="s">
        <v>306</v>
      </c>
      <c r="E85" s="4" t="s">
        <v>307</v>
      </c>
      <c r="F85" s="4" t="s">
        <v>1379</v>
      </c>
      <c r="G85" s="4" t="s">
        <v>1380</v>
      </c>
      <c r="H85" s="4" t="s">
        <v>1381</v>
      </c>
      <c r="I85" s="4" t="s">
        <v>188</v>
      </c>
      <c r="J85" s="4" t="s">
        <v>1362</v>
      </c>
      <c r="K85" s="3">
        <v>57</v>
      </c>
      <c r="L85" s="4" t="s">
        <v>0</v>
      </c>
      <c r="M85" s="4" t="s">
        <v>118</v>
      </c>
      <c r="N85" s="5">
        <v>2289.7600000000002</v>
      </c>
      <c r="O85" s="6">
        <v>40852</v>
      </c>
      <c r="P85" s="3"/>
      <c r="Q85" s="4" t="s">
        <v>2072</v>
      </c>
      <c r="R85" s="54"/>
      <c r="S85" s="69"/>
      <c r="T85" s="55"/>
      <c r="U85" s="55"/>
      <c r="V85" s="55"/>
      <c r="W85" s="55"/>
      <c r="X85" s="56"/>
      <c r="Y85" s="54"/>
      <c r="Z85" s="69"/>
      <c r="AA85" s="55"/>
      <c r="AB85" s="55"/>
      <c r="AC85" s="55"/>
      <c r="AD85" s="55"/>
      <c r="AE85" s="56"/>
      <c r="AF85" s="54"/>
      <c r="AG85" s="69"/>
      <c r="AH85" s="55"/>
      <c r="AI85" s="55"/>
      <c r="AJ85" s="55"/>
      <c r="AK85" s="55"/>
      <c r="AL85" s="56"/>
      <c r="AM85" s="54"/>
      <c r="AN85" s="69"/>
      <c r="AO85" s="55"/>
      <c r="AP85" s="55"/>
      <c r="AQ85" s="55"/>
      <c r="AR85" s="55"/>
      <c r="AS85" s="56"/>
      <c r="AT85" s="54"/>
      <c r="AU85" s="69"/>
      <c r="AV85" s="55"/>
      <c r="AW85" s="55"/>
      <c r="AX85" s="55"/>
      <c r="AY85" s="55"/>
      <c r="AZ85" s="56"/>
      <c r="BA85" s="65">
        <f t="shared" si="3"/>
        <v>0</v>
      </c>
      <c r="BB85" s="73"/>
      <c r="BC85" s="74"/>
      <c r="BD85" s="65"/>
      <c r="BE85" s="94"/>
      <c r="BF85" s="73"/>
      <c r="BG85" s="74"/>
      <c r="BH85" s="65"/>
      <c r="BI85" s="94"/>
      <c r="BJ85" s="73"/>
      <c r="BK85" s="74"/>
      <c r="BL85" s="65"/>
      <c r="BM85" s="94"/>
      <c r="BN85" s="65">
        <f t="shared" si="4"/>
        <v>0</v>
      </c>
      <c r="BO85" s="65" t="b">
        <f t="shared" si="5"/>
        <v>1</v>
      </c>
      <c r="BP85" s="70" t="s">
        <v>708</v>
      </c>
      <c r="BQ85" s="69" t="s">
        <v>1172</v>
      </c>
      <c r="BR85" s="55">
        <v>20</v>
      </c>
      <c r="BS85" s="57">
        <v>9.8000000000000007</v>
      </c>
      <c r="BT85" s="98">
        <v>196</v>
      </c>
      <c r="BU85" s="70" t="s">
        <v>3134</v>
      </c>
      <c r="BV85" s="69" t="s">
        <v>3135</v>
      </c>
      <c r="BW85" s="57">
        <v>0.01</v>
      </c>
      <c r="BX85" s="55"/>
      <c r="BY85" s="55">
        <v>1</v>
      </c>
      <c r="BZ85" s="58">
        <v>0.01</v>
      </c>
      <c r="CA85" s="70"/>
      <c r="CB85" s="69"/>
      <c r="CC85" s="55"/>
      <c r="CD85" s="55"/>
      <c r="CE85" s="55"/>
      <c r="CF85" s="56"/>
      <c r="CG85" s="3"/>
      <c r="CH85" s="5">
        <v>39.200000000000003</v>
      </c>
      <c r="CI85" s="3"/>
      <c r="CJ85" s="3"/>
      <c r="CK85" s="3"/>
      <c r="CL85" s="3"/>
      <c r="CM85" s="3"/>
      <c r="CN85" s="3"/>
      <c r="CO85" s="3"/>
      <c r="CP85" s="3"/>
    </row>
    <row r="86" spans="1:94">
      <c r="A86" s="3">
        <v>56340</v>
      </c>
      <c r="B86" s="4" t="s">
        <v>1496</v>
      </c>
      <c r="C86" s="4" t="s">
        <v>94</v>
      </c>
      <c r="D86" s="4" t="s">
        <v>416</v>
      </c>
      <c r="E86" s="4" t="s">
        <v>417</v>
      </c>
      <c r="F86" s="4" t="s">
        <v>1388</v>
      </c>
      <c r="G86" s="4" t="s">
        <v>1389</v>
      </c>
      <c r="H86" s="4" t="s">
        <v>1390</v>
      </c>
      <c r="I86" s="4" t="s">
        <v>188</v>
      </c>
      <c r="J86" s="4" t="s">
        <v>1362</v>
      </c>
      <c r="K86" s="3">
        <v>57</v>
      </c>
      <c r="L86" s="4" t="s">
        <v>0</v>
      </c>
      <c r="M86" s="4" t="s">
        <v>123</v>
      </c>
      <c r="N86" s="5">
        <v>2110.38</v>
      </c>
      <c r="O86" s="6">
        <v>40852</v>
      </c>
      <c r="P86" s="3"/>
      <c r="Q86" s="4" t="s">
        <v>2072</v>
      </c>
      <c r="R86" s="54"/>
      <c r="S86" s="69"/>
      <c r="T86" s="55"/>
      <c r="U86" s="55"/>
      <c r="V86" s="55"/>
      <c r="W86" s="55"/>
      <c r="X86" s="56"/>
      <c r="Y86" s="54"/>
      <c r="Z86" s="69"/>
      <c r="AA86" s="55"/>
      <c r="AB86" s="55"/>
      <c r="AC86" s="55"/>
      <c r="AD86" s="55"/>
      <c r="AE86" s="56"/>
      <c r="AF86" s="54"/>
      <c r="AG86" s="69"/>
      <c r="AH86" s="55"/>
      <c r="AI86" s="55"/>
      <c r="AJ86" s="55"/>
      <c r="AK86" s="55"/>
      <c r="AL86" s="56"/>
      <c r="AM86" s="54"/>
      <c r="AN86" s="69"/>
      <c r="AO86" s="55"/>
      <c r="AP86" s="55"/>
      <c r="AQ86" s="55"/>
      <c r="AR86" s="55"/>
      <c r="AS86" s="56"/>
      <c r="AT86" s="54"/>
      <c r="AU86" s="69"/>
      <c r="AV86" s="55"/>
      <c r="AW86" s="55"/>
      <c r="AX86" s="55"/>
      <c r="AY86" s="55"/>
      <c r="AZ86" s="56"/>
      <c r="BA86" s="65">
        <f t="shared" si="3"/>
        <v>0</v>
      </c>
      <c r="BB86" s="73"/>
      <c r="BC86" s="74"/>
      <c r="BD86" s="65"/>
      <c r="BE86" s="94"/>
      <c r="BF86" s="73"/>
      <c r="BG86" s="74"/>
      <c r="BH86" s="65"/>
      <c r="BI86" s="94"/>
      <c r="BJ86" s="73"/>
      <c r="BK86" s="74"/>
      <c r="BL86" s="65"/>
      <c r="BM86" s="94"/>
      <c r="BN86" s="65">
        <f t="shared" si="4"/>
        <v>0</v>
      </c>
      <c r="BO86" s="65" t="b">
        <f t="shared" si="5"/>
        <v>1</v>
      </c>
      <c r="BP86" s="70" t="s">
        <v>708</v>
      </c>
      <c r="BQ86" s="69" t="s">
        <v>1172</v>
      </c>
      <c r="BR86" s="55">
        <v>20</v>
      </c>
      <c r="BS86" s="57">
        <v>9.8000000000000007</v>
      </c>
      <c r="BT86" s="98">
        <v>196</v>
      </c>
      <c r="BU86" s="70" t="s">
        <v>3134</v>
      </c>
      <c r="BV86" s="69" t="s">
        <v>3135</v>
      </c>
      <c r="BW86" s="57">
        <v>0.01</v>
      </c>
      <c r="BX86" s="55"/>
      <c r="BY86" s="55">
        <v>1</v>
      </c>
      <c r="BZ86" s="58">
        <v>0.01</v>
      </c>
      <c r="CA86" s="70"/>
      <c r="CB86" s="69"/>
      <c r="CC86" s="55"/>
      <c r="CD86" s="55"/>
      <c r="CE86" s="55"/>
      <c r="CF86" s="56"/>
      <c r="CG86" s="3"/>
      <c r="CH86" s="5">
        <v>39.200000000000003</v>
      </c>
      <c r="CI86" s="3"/>
      <c r="CJ86" s="3"/>
      <c r="CK86" s="3"/>
      <c r="CL86" s="3"/>
      <c r="CM86" s="3"/>
      <c r="CN86" s="3"/>
      <c r="CO86" s="3"/>
      <c r="CP86" s="3"/>
    </row>
    <row r="87" spans="1:94">
      <c r="A87" s="3">
        <v>75571</v>
      </c>
      <c r="B87" s="4" t="s">
        <v>3093</v>
      </c>
      <c r="C87" s="4" t="s">
        <v>3094</v>
      </c>
      <c r="D87" s="4" t="s">
        <v>2981</v>
      </c>
      <c r="E87" s="4" t="s">
        <v>362</v>
      </c>
      <c r="F87" s="4" t="s">
        <v>2982</v>
      </c>
      <c r="G87" s="4" t="s">
        <v>2983</v>
      </c>
      <c r="H87" s="4" t="s">
        <v>2984</v>
      </c>
      <c r="I87" s="4" t="s">
        <v>188</v>
      </c>
      <c r="J87" s="4" t="s">
        <v>1362</v>
      </c>
      <c r="K87" s="3">
        <v>57</v>
      </c>
      <c r="L87" s="4" t="s">
        <v>0</v>
      </c>
      <c r="M87" s="4" t="s">
        <v>183</v>
      </c>
      <c r="N87" s="5">
        <v>2110.38</v>
      </c>
      <c r="O87" s="6">
        <v>41834</v>
      </c>
      <c r="P87" s="3"/>
      <c r="Q87" s="4" t="s">
        <v>2072</v>
      </c>
      <c r="R87" s="54"/>
      <c r="S87" s="69"/>
      <c r="T87" s="55"/>
      <c r="U87" s="55"/>
      <c r="V87" s="55"/>
      <c r="W87" s="55"/>
      <c r="X87" s="56"/>
      <c r="Y87" s="54"/>
      <c r="Z87" s="69"/>
      <c r="AA87" s="55"/>
      <c r="AB87" s="55"/>
      <c r="AC87" s="55"/>
      <c r="AD87" s="55"/>
      <c r="AE87" s="56"/>
      <c r="AF87" s="54"/>
      <c r="AG87" s="69"/>
      <c r="AH87" s="55"/>
      <c r="AI87" s="55"/>
      <c r="AJ87" s="55"/>
      <c r="AK87" s="55"/>
      <c r="AL87" s="56"/>
      <c r="AM87" s="54"/>
      <c r="AN87" s="69"/>
      <c r="AO87" s="55"/>
      <c r="AP87" s="55"/>
      <c r="AQ87" s="55"/>
      <c r="AR87" s="55"/>
      <c r="AS87" s="56"/>
      <c r="AT87" s="54"/>
      <c r="AU87" s="69"/>
      <c r="AV87" s="55"/>
      <c r="AW87" s="55"/>
      <c r="AX87" s="55"/>
      <c r="AY87" s="55"/>
      <c r="AZ87" s="56"/>
      <c r="BA87" s="65">
        <f t="shared" si="3"/>
        <v>0</v>
      </c>
      <c r="BB87" s="73"/>
      <c r="BC87" s="74"/>
      <c r="BD87" s="65"/>
      <c r="BE87" s="94"/>
      <c r="BF87" s="73"/>
      <c r="BG87" s="74"/>
      <c r="BH87" s="65"/>
      <c r="BI87" s="94"/>
      <c r="BJ87" s="73"/>
      <c r="BK87" s="74"/>
      <c r="BL87" s="65"/>
      <c r="BM87" s="94"/>
      <c r="BN87" s="65">
        <f t="shared" si="4"/>
        <v>0</v>
      </c>
      <c r="BO87" s="65" t="b">
        <f t="shared" si="5"/>
        <v>1</v>
      </c>
      <c r="BP87" s="70" t="s">
        <v>708</v>
      </c>
      <c r="BQ87" s="69" t="s">
        <v>1172</v>
      </c>
      <c r="BR87" s="55">
        <v>20</v>
      </c>
      <c r="BS87" s="57">
        <v>9.8000000000000007</v>
      </c>
      <c r="BT87" s="98">
        <v>196</v>
      </c>
      <c r="BU87" s="70" t="s">
        <v>3134</v>
      </c>
      <c r="BV87" s="69" t="s">
        <v>3135</v>
      </c>
      <c r="BW87" s="57">
        <v>0.01</v>
      </c>
      <c r="BX87" s="55"/>
      <c r="BY87" s="55">
        <v>1</v>
      </c>
      <c r="BZ87" s="58">
        <v>0.01</v>
      </c>
      <c r="CA87" s="70" t="s">
        <v>708</v>
      </c>
      <c r="CB87" s="69" t="s">
        <v>1172</v>
      </c>
      <c r="CC87" s="57">
        <v>9.8000000000000007</v>
      </c>
      <c r="CD87" s="55"/>
      <c r="CE87" s="85">
        <v>14</v>
      </c>
      <c r="CF87" s="99">
        <v>137.19999999999999</v>
      </c>
      <c r="CG87" s="3"/>
      <c r="CH87" s="5">
        <v>66.64</v>
      </c>
      <c r="CI87" s="3"/>
      <c r="CJ87" s="3"/>
      <c r="CK87" s="3"/>
      <c r="CL87" s="3"/>
      <c r="CM87" s="3"/>
      <c r="CN87" s="3"/>
      <c r="CO87" s="3"/>
      <c r="CP87" s="3"/>
    </row>
    <row r="88" spans="1:94">
      <c r="A88" s="3">
        <v>71515</v>
      </c>
      <c r="B88" s="4" t="s">
        <v>3022</v>
      </c>
      <c r="C88" s="4" t="s">
        <v>1052</v>
      </c>
      <c r="D88" s="4" t="s">
        <v>3096</v>
      </c>
      <c r="E88" s="4" t="s">
        <v>3097</v>
      </c>
      <c r="F88" s="4" t="s">
        <v>3095</v>
      </c>
      <c r="G88" s="4" t="s">
        <v>3108</v>
      </c>
      <c r="H88" s="4" t="s">
        <v>3109</v>
      </c>
      <c r="I88" s="4" t="s">
        <v>188</v>
      </c>
      <c r="J88" s="4" t="s">
        <v>1362</v>
      </c>
      <c r="K88" s="3">
        <v>57</v>
      </c>
      <c r="L88" s="4" t="s">
        <v>0</v>
      </c>
      <c r="M88" s="4" t="s">
        <v>167</v>
      </c>
      <c r="N88" s="5">
        <v>2289.7600000000002</v>
      </c>
      <c r="O88" s="6">
        <v>41716</v>
      </c>
      <c r="P88" s="3"/>
      <c r="Q88" s="4" t="s">
        <v>2072</v>
      </c>
      <c r="R88" s="54"/>
      <c r="S88" s="69"/>
      <c r="T88" s="55"/>
      <c r="U88" s="55"/>
      <c r="V88" s="55"/>
      <c r="W88" s="55"/>
      <c r="X88" s="56"/>
      <c r="Y88" s="54"/>
      <c r="Z88" s="69"/>
      <c r="AA88" s="55"/>
      <c r="AB88" s="55"/>
      <c r="AC88" s="55"/>
      <c r="AD88" s="55"/>
      <c r="AE88" s="56"/>
      <c r="AF88" s="54"/>
      <c r="AG88" s="69"/>
      <c r="AH88" s="55"/>
      <c r="AI88" s="55"/>
      <c r="AJ88" s="55"/>
      <c r="AK88" s="55"/>
      <c r="AL88" s="56"/>
      <c r="AM88" s="54"/>
      <c r="AN88" s="69"/>
      <c r="AO88" s="55"/>
      <c r="AP88" s="55"/>
      <c r="AQ88" s="55"/>
      <c r="AR88" s="55"/>
      <c r="AS88" s="56"/>
      <c r="AT88" s="54"/>
      <c r="AU88" s="69"/>
      <c r="AV88" s="55"/>
      <c r="AW88" s="55"/>
      <c r="AX88" s="55"/>
      <c r="AY88" s="55"/>
      <c r="AZ88" s="56"/>
      <c r="BA88" s="65">
        <f t="shared" si="3"/>
        <v>0</v>
      </c>
      <c r="BB88" s="73"/>
      <c r="BC88" s="74"/>
      <c r="BD88" s="65"/>
      <c r="BE88" s="94"/>
      <c r="BF88" s="73"/>
      <c r="BG88" s="74"/>
      <c r="BH88" s="65"/>
      <c r="BI88" s="94"/>
      <c r="BJ88" s="73"/>
      <c r="BK88" s="74"/>
      <c r="BL88" s="65"/>
      <c r="BM88" s="94"/>
      <c r="BN88" s="65">
        <f t="shared" si="4"/>
        <v>0</v>
      </c>
      <c r="BO88" s="65" t="b">
        <f t="shared" si="5"/>
        <v>1</v>
      </c>
      <c r="BP88" s="70" t="s">
        <v>708</v>
      </c>
      <c r="BQ88" s="69" t="s">
        <v>1172</v>
      </c>
      <c r="BR88" s="55">
        <v>20</v>
      </c>
      <c r="BS88" s="57">
        <v>9.8000000000000007</v>
      </c>
      <c r="BT88" s="98">
        <v>196</v>
      </c>
      <c r="BU88" s="70" t="s">
        <v>3134</v>
      </c>
      <c r="BV88" s="69" t="s">
        <v>3135</v>
      </c>
      <c r="BW88" s="57">
        <v>0.01</v>
      </c>
      <c r="BX88" s="55"/>
      <c r="BY88" s="55">
        <v>1</v>
      </c>
      <c r="BZ88" s="58">
        <v>0.01</v>
      </c>
      <c r="CA88" s="70"/>
      <c r="CB88" s="69"/>
      <c r="CC88" s="55"/>
      <c r="CD88" s="55"/>
      <c r="CE88" s="55"/>
      <c r="CF88" s="56"/>
      <c r="CG88" s="3"/>
      <c r="CH88" s="5">
        <v>39.200000000000003</v>
      </c>
      <c r="CI88" s="3"/>
      <c r="CJ88" s="3"/>
      <c r="CK88" s="3"/>
      <c r="CL88" s="3"/>
      <c r="CM88" s="3"/>
      <c r="CN88" s="3"/>
      <c r="CO88" s="3"/>
      <c r="CP88" s="3"/>
    </row>
    <row r="89" spans="1:94">
      <c r="A89" s="3">
        <v>60499</v>
      </c>
      <c r="B89" s="4" t="s">
        <v>1497</v>
      </c>
      <c r="C89" s="4" t="s">
        <v>96</v>
      </c>
      <c r="D89" s="4" t="s">
        <v>416</v>
      </c>
      <c r="E89" s="4" t="s">
        <v>417</v>
      </c>
      <c r="F89" s="4" t="s">
        <v>1388</v>
      </c>
      <c r="G89" s="4" t="s">
        <v>1389</v>
      </c>
      <c r="H89" s="4" t="s">
        <v>1390</v>
      </c>
      <c r="I89" s="4" t="s">
        <v>188</v>
      </c>
      <c r="J89" s="4" t="s">
        <v>1362</v>
      </c>
      <c r="K89" s="3">
        <v>57</v>
      </c>
      <c r="L89" s="4" t="s">
        <v>0</v>
      </c>
      <c r="M89" s="4" t="s">
        <v>123</v>
      </c>
      <c r="N89" s="5">
        <v>2110.38</v>
      </c>
      <c r="O89" s="6">
        <v>41116</v>
      </c>
      <c r="P89" s="3"/>
      <c r="Q89" s="4" t="s">
        <v>2072</v>
      </c>
      <c r="R89" s="54"/>
      <c r="S89" s="69"/>
      <c r="T89" s="55"/>
      <c r="U89" s="55"/>
      <c r="V89" s="55"/>
      <c r="W89" s="55"/>
      <c r="X89" s="56"/>
      <c r="Y89" s="54"/>
      <c r="Z89" s="69"/>
      <c r="AA89" s="55"/>
      <c r="AB89" s="55"/>
      <c r="AC89" s="55"/>
      <c r="AD89" s="55"/>
      <c r="AE89" s="56"/>
      <c r="AF89" s="54"/>
      <c r="AG89" s="69"/>
      <c r="AH89" s="55"/>
      <c r="AI89" s="55"/>
      <c r="AJ89" s="55"/>
      <c r="AK89" s="55"/>
      <c r="AL89" s="56"/>
      <c r="AM89" s="54"/>
      <c r="AN89" s="69"/>
      <c r="AO89" s="55"/>
      <c r="AP89" s="55"/>
      <c r="AQ89" s="55"/>
      <c r="AR89" s="55"/>
      <c r="AS89" s="56"/>
      <c r="AT89" s="54"/>
      <c r="AU89" s="69"/>
      <c r="AV89" s="55"/>
      <c r="AW89" s="55"/>
      <c r="AX89" s="55"/>
      <c r="AY89" s="55"/>
      <c r="AZ89" s="56"/>
      <c r="BA89" s="65">
        <f t="shared" si="3"/>
        <v>0</v>
      </c>
      <c r="BB89" s="73"/>
      <c r="BC89" s="74"/>
      <c r="BD89" s="65"/>
      <c r="BE89" s="94"/>
      <c r="BF89" s="73"/>
      <c r="BG89" s="74"/>
      <c r="BH89" s="65"/>
      <c r="BI89" s="94"/>
      <c r="BJ89" s="73"/>
      <c r="BK89" s="74"/>
      <c r="BL89" s="65"/>
      <c r="BM89" s="94"/>
      <c r="BN89" s="65">
        <f t="shared" si="4"/>
        <v>0</v>
      </c>
      <c r="BO89" s="65" t="b">
        <f t="shared" si="5"/>
        <v>1</v>
      </c>
      <c r="BP89" s="70" t="s">
        <v>708</v>
      </c>
      <c r="BQ89" s="69" t="s">
        <v>1172</v>
      </c>
      <c r="BR89" s="55">
        <v>20</v>
      </c>
      <c r="BS89" s="57">
        <v>9.8000000000000007</v>
      </c>
      <c r="BT89" s="98">
        <v>196</v>
      </c>
      <c r="BU89" s="70" t="s">
        <v>3134</v>
      </c>
      <c r="BV89" s="69" t="s">
        <v>3135</v>
      </c>
      <c r="BW89" s="57">
        <v>0.01</v>
      </c>
      <c r="BX89" s="55"/>
      <c r="BY89" s="55">
        <v>1</v>
      </c>
      <c r="BZ89" s="58">
        <v>0.01</v>
      </c>
      <c r="CA89" s="70"/>
      <c r="CB89" s="69"/>
      <c r="CC89" s="55"/>
      <c r="CD89" s="55"/>
      <c r="CE89" s="55"/>
      <c r="CF89" s="56"/>
      <c r="CG89" s="3"/>
      <c r="CH89" s="5">
        <v>39.200000000000003</v>
      </c>
      <c r="CI89" s="3"/>
      <c r="CJ89" s="3"/>
      <c r="CK89" s="3"/>
      <c r="CL89" s="3"/>
      <c r="CM89" s="3"/>
      <c r="CN89" s="3"/>
      <c r="CO89" s="3"/>
      <c r="CP89" s="3"/>
    </row>
    <row r="90" spans="1:94">
      <c r="A90" s="3">
        <v>56201</v>
      </c>
      <c r="B90" s="4" t="s">
        <v>1498</v>
      </c>
      <c r="C90" s="4" t="s">
        <v>76</v>
      </c>
      <c r="D90" s="4" t="s">
        <v>1060</v>
      </c>
      <c r="E90" s="4" t="s">
        <v>1061</v>
      </c>
      <c r="F90" s="4" t="s">
        <v>1499</v>
      </c>
      <c r="G90" s="4" t="s">
        <v>1500</v>
      </c>
      <c r="H90" s="4" t="s">
        <v>1501</v>
      </c>
      <c r="I90" s="4" t="s">
        <v>188</v>
      </c>
      <c r="J90" s="4" t="s">
        <v>1362</v>
      </c>
      <c r="K90" s="3">
        <v>57</v>
      </c>
      <c r="L90" s="4" t="s">
        <v>0</v>
      </c>
      <c r="M90" s="4" t="s">
        <v>1208</v>
      </c>
      <c r="N90" s="5">
        <v>2110.38</v>
      </c>
      <c r="O90" s="6">
        <v>40852</v>
      </c>
      <c r="P90" s="3"/>
      <c r="Q90" s="4" t="s">
        <v>2072</v>
      </c>
      <c r="R90" s="54"/>
      <c r="S90" s="69"/>
      <c r="T90" s="55"/>
      <c r="U90" s="55"/>
      <c r="V90" s="55"/>
      <c r="W90" s="55"/>
      <c r="X90" s="56"/>
      <c r="Y90" s="54"/>
      <c r="Z90" s="69"/>
      <c r="AA90" s="55"/>
      <c r="AB90" s="55"/>
      <c r="AC90" s="55"/>
      <c r="AD90" s="55"/>
      <c r="AE90" s="56"/>
      <c r="AF90" s="54"/>
      <c r="AG90" s="69"/>
      <c r="AH90" s="55"/>
      <c r="AI90" s="55"/>
      <c r="AJ90" s="55"/>
      <c r="AK90" s="55"/>
      <c r="AL90" s="56"/>
      <c r="AM90" s="54"/>
      <c r="AN90" s="69"/>
      <c r="AO90" s="55"/>
      <c r="AP90" s="55"/>
      <c r="AQ90" s="55"/>
      <c r="AR90" s="55"/>
      <c r="AS90" s="56"/>
      <c r="AT90" s="54"/>
      <c r="AU90" s="69"/>
      <c r="AV90" s="55"/>
      <c r="AW90" s="55"/>
      <c r="AX90" s="55"/>
      <c r="AY90" s="55"/>
      <c r="AZ90" s="56"/>
      <c r="BA90" s="65">
        <f t="shared" si="3"/>
        <v>0</v>
      </c>
      <c r="BB90" s="73"/>
      <c r="BC90" s="74"/>
      <c r="BD90" s="65"/>
      <c r="BE90" s="94"/>
      <c r="BF90" s="73"/>
      <c r="BG90" s="74"/>
      <c r="BH90" s="65"/>
      <c r="BI90" s="94"/>
      <c r="BJ90" s="73"/>
      <c r="BK90" s="74"/>
      <c r="BL90" s="65"/>
      <c r="BM90" s="94"/>
      <c r="BN90" s="65">
        <f t="shared" si="4"/>
        <v>0</v>
      </c>
      <c r="BO90" s="65" t="b">
        <f t="shared" si="5"/>
        <v>1</v>
      </c>
      <c r="BP90" s="70" t="s">
        <v>708</v>
      </c>
      <c r="BQ90" s="69" t="s">
        <v>1172</v>
      </c>
      <c r="BR90" s="55">
        <v>21</v>
      </c>
      <c r="BS90" s="57">
        <v>9.8000000000000007</v>
      </c>
      <c r="BT90" s="98">
        <v>205.8</v>
      </c>
      <c r="BU90" s="70" t="s">
        <v>3134</v>
      </c>
      <c r="BV90" s="69" t="s">
        <v>3135</v>
      </c>
      <c r="BW90" s="57">
        <v>0.01</v>
      </c>
      <c r="BX90" s="55"/>
      <c r="BY90" s="55">
        <v>1</v>
      </c>
      <c r="BZ90" s="58">
        <v>0.01</v>
      </c>
      <c r="CA90" s="70"/>
      <c r="CB90" s="69"/>
      <c r="CC90" s="55"/>
      <c r="CD90" s="55"/>
      <c r="CE90" s="55"/>
      <c r="CF90" s="56"/>
      <c r="CG90" s="3"/>
      <c r="CH90" s="5">
        <v>41.16</v>
      </c>
      <c r="CI90" s="3"/>
      <c r="CJ90" s="3"/>
      <c r="CK90" s="3"/>
      <c r="CL90" s="3"/>
      <c r="CM90" s="3"/>
      <c r="CN90" s="3"/>
      <c r="CO90" s="3"/>
      <c r="CP90" s="3"/>
    </row>
    <row r="91" spans="1:94">
      <c r="A91" s="3">
        <v>56050</v>
      </c>
      <c r="B91" s="4" t="s">
        <v>1502</v>
      </c>
      <c r="C91" s="4" t="s">
        <v>36</v>
      </c>
      <c r="D91" s="4" t="s">
        <v>306</v>
      </c>
      <c r="E91" s="4" t="s">
        <v>307</v>
      </c>
      <c r="F91" s="4" t="s">
        <v>1379</v>
      </c>
      <c r="G91" s="4" t="s">
        <v>1380</v>
      </c>
      <c r="H91" s="4" t="s">
        <v>1381</v>
      </c>
      <c r="I91" s="4" t="s">
        <v>188</v>
      </c>
      <c r="J91" s="4" t="s">
        <v>1362</v>
      </c>
      <c r="K91" s="3">
        <v>57</v>
      </c>
      <c r="L91" s="4" t="s">
        <v>0</v>
      </c>
      <c r="M91" s="4" t="s">
        <v>118</v>
      </c>
      <c r="N91" s="5">
        <v>2289.7600000000002</v>
      </c>
      <c r="O91" s="6">
        <v>40852</v>
      </c>
      <c r="P91" s="3"/>
      <c r="Q91" s="4" t="s">
        <v>2072</v>
      </c>
      <c r="R91" s="54"/>
      <c r="S91" s="69"/>
      <c r="T91" s="55"/>
      <c r="U91" s="55"/>
      <c r="V91" s="55"/>
      <c r="W91" s="55"/>
      <c r="X91" s="56"/>
      <c r="Y91" s="54"/>
      <c r="Z91" s="69"/>
      <c r="AA91" s="55"/>
      <c r="AB91" s="55"/>
      <c r="AC91" s="55"/>
      <c r="AD91" s="55"/>
      <c r="AE91" s="56"/>
      <c r="AF91" s="54"/>
      <c r="AG91" s="69"/>
      <c r="AH91" s="55"/>
      <c r="AI91" s="55"/>
      <c r="AJ91" s="55"/>
      <c r="AK91" s="55"/>
      <c r="AL91" s="56"/>
      <c r="AM91" s="54"/>
      <c r="AN91" s="69"/>
      <c r="AO91" s="55"/>
      <c r="AP91" s="55"/>
      <c r="AQ91" s="55"/>
      <c r="AR91" s="55"/>
      <c r="AS91" s="56"/>
      <c r="AT91" s="54"/>
      <c r="AU91" s="69"/>
      <c r="AV91" s="55"/>
      <c r="AW91" s="55"/>
      <c r="AX91" s="55"/>
      <c r="AY91" s="55"/>
      <c r="AZ91" s="56"/>
      <c r="BA91" s="65">
        <f t="shared" si="3"/>
        <v>0</v>
      </c>
      <c r="BB91" s="73"/>
      <c r="BC91" s="74"/>
      <c r="BD91" s="65"/>
      <c r="BE91" s="94"/>
      <c r="BF91" s="73"/>
      <c r="BG91" s="74"/>
      <c r="BH91" s="65"/>
      <c r="BI91" s="94"/>
      <c r="BJ91" s="73"/>
      <c r="BK91" s="74"/>
      <c r="BL91" s="65"/>
      <c r="BM91" s="94"/>
      <c r="BN91" s="65">
        <f t="shared" si="4"/>
        <v>0</v>
      </c>
      <c r="BO91" s="65" t="b">
        <f t="shared" si="5"/>
        <v>1</v>
      </c>
      <c r="BP91" s="70" t="s">
        <v>708</v>
      </c>
      <c r="BQ91" s="69" t="s">
        <v>1172</v>
      </c>
      <c r="BR91" s="55">
        <v>20</v>
      </c>
      <c r="BS91" s="57">
        <v>9.8000000000000007</v>
      </c>
      <c r="BT91" s="98">
        <v>196</v>
      </c>
      <c r="BU91" s="70" t="s">
        <v>3134</v>
      </c>
      <c r="BV91" s="69" t="s">
        <v>3135</v>
      </c>
      <c r="BW91" s="57">
        <v>0.01</v>
      </c>
      <c r="BX91" s="55"/>
      <c r="BY91" s="55">
        <v>1</v>
      </c>
      <c r="BZ91" s="58">
        <v>0.01</v>
      </c>
      <c r="CA91" s="70"/>
      <c r="CB91" s="69"/>
      <c r="CC91" s="55"/>
      <c r="CD91" s="55"/>
      <c r="CE91" s="55"/>
      <c r="CF91" s="56"/>
      <c r="CG91" s="3"/>
      <c r="CH91" s="5">
        <v>39.200000000000003</v>
      </c>
      <c r="CI91" s="3"/>
      <c r="CJ91" s="3"/>
      <c r="CK91" s="3"/>
      <c r="CL91" s="3"/>
      <c r="CM91" s="3"/>
      <c r="CN91" s="3"/>
      <c r="CO91" s="3"/>
      <c r="CP91" s="3"/>
    </row>
    <row r="92" spans="1:94">
      <c r="A92" s="3">
        <v>56333</v>
      </c>
      <c r="B92" s="4" t="s">
        <v>1503</v>
      </c>
      <c r="C92" s="4" t="s">
        <v>95</v>
      </c>
      <c r="D92" s="4" t="s">
        <v>416</v>
      </c>
      <c r="E92" s="4" t="s">
        <v>417</v>
      </c>
      <c r="F92" s="4" t="s">
        <v>1388</v>
      </c>
      <c r="G92" s="4" t="s">
        <v>1389</v>
      </c>
      <c r="H92" s="4" t="s">
        <v>1390</v>
      </c>
      <c r="I92" s="4" t="s">
        <v>188</v>
      </c>
      <c r="J92" s="4" t="s">
        <v>1362</v>
      </c>
      <c r="K92" s="3">
        <v>57</v>
      </c>
      <c r="L92" s="4" t="s">
        <v>0</v>
      </c>
      <c r="M92" s="4" t="s">
        <v>123</v>
      </c>
      <c r="N92" s="5">
        <v>2110.38</v>
      </c>
      <c r="O92" s="6">
        <v>40852</v>
      </c>
      <c r="P92" s="3"/>
      <c r="Q92" s="4" t="s">
        <v>2072</v>
      </c>
      <c r="R92" s="54"/>
      <c r="S92" s="69"/>
      <c r="T92" s="55"/>
      <c r="U92" s="55"/>
      <c r="V92" s="55"/>
      <c r="W92" s="55"/>
      <c r="X92" s="56"/>
      <c r="Y92" s="54"/>
      <c r="Z92" s="69"/>
      <c r="AA92" s="55"/>
      <c r="AB92" s="55"/>
      <c r="AC92" s="55"/>
      <c r="AD92" s="55"/>
      <c r="AE92" s="56"/>
      <c r="AF92" s="54"/>
      <c r="AG92" s="69"/>
      <c r="AH92" s="55"/>
      <c r="AI92" s="55"/>
      <c r="AJ92" s="55"/>
      <c r="AK92" s="55"/>
      <c r="AL92" s="56"/>
      <c r="AM92" s="54"/>
      <c r="AN92" s="69"/>
      <c r="AO92" s="55"/>
      <c r="AP92" s="55"/>
      <c r="AQ92" s="55"/>
      <c r="AR92" s="55"/>
      <c r="AS92" s="56"/>
      <c r="AT92" s="54"/>
      <c r="AU92" s="69"/>
      <c r="AV92" s="55"/>
      <c r="AW92" s="55"/>
      <c r="AX92" s="55"/>
      <c r="AY92" s="55"/>
      <c r="AZ92" s="56"/>
      <c r="BA92" s="65">
        <f t="shared" si="3"/>
        <v>0</v>
      </c>
      <c r="BB92" s="73"/>
      <c r="BC92" s="74"/>
      <c r="BD92" s="65"/>
      <c r="BE92" s="94"/>
      <c r="BF92" s="73"/>
      <c r="BG92" s="74"/>
      <c r="BH92" s="65"/>
      <c r="BI92" s="94"/>
      <c r="BJ92" s="73"/>
      <c r="BK92" s="74"/>
      <c r="BL92" s="65"/>
      <c r="BM92" s="94"/>
      <c r="BN92" s="65">
        <f t="shared" si="4"/>
        <v>0</v>
      </c>
      <c r="BO92" s="65" t="b">
        <f t="shared" si="5"/>
        <v>1</v>
      </c>
      <c r="BP92" s="70" t="s">
        <v>708</v>
      </c>
      <c r="BQ92" s="69" t="s">
        <v>1172</v>
      </c>
      <c r="BR92" s="55">
        <v>20</v>
      </c>
      <c r="BS92" s="57">
        <v>9.8000000000000007</v>
      </c>
      <c r="BT92" s="98">
        <v>196</v>
      </c>
      <c r="BU92" s="70" t="s">
        <v>3134</v>
      </c>
      <c r="BV92" s="69" t="s">
        <v>3135</v>
      </c>
      <c r="BW92" s="57">
        <v>0.01</v>
      </c>
      <c r="BX92" s="55"/>
      <c r="BY92" s="55">
        <v>1</v>
      </c>
      <c r="BZ92" s="58">
        <v>0.01</v>
      </c>
      <c r="CA92" s="70"/>
      <c r="CB92" s="69"/>
      <c r="CC92" s="55"/>
      <c r="CD92" s="55"/>
      <c r="CE92" s="55"/>
      <c r="CF92" s="56"/>
      <c r="CG92" s="3"/>
      <c r="CH92" s="5">
        <v>39.200000000000003</v>
      </c>
      <c r="CI92" s="3"/>
      <c r="CJ92" s="3"/>
      <c r="CK92" s="3"/>
      <c r="CL92" s="3"/>
      <c r="CM92" s="3"/>
      <c r="CN92" s="3"/>
      <c r="CO92" s="3"/>
      <c r="CP92" s="3"/>
    </row>
    <row r="93" spans="1:94">
      <c r="A93" s="3">
        <v>56046</v>
      </c>
      <c r="B93" s="4" t="s">
        <v>1504</v>
      </c>
      <c r="C93" s="4" t="s">
        <v>37</v>
      </c>
      <c r="D93" s="4" t="s">
        <v>306</v>
      </c>
      <c r="E93" s="4" t="s">
        <v>307</v>
      </c>
      <c r="F93" s="4" t="s">
        <v>1379</v>
      </c>
      <c r="G93" s="4" t="s">
        <v>1380</v>
      </c>
      <c r="H93" s="4" t="s">
        <v>1381</v>
      </c>
      <c r="I93" s="4" t="s">
        <v>188</v>
      </c>
      <c r="J93" s="4" t="s">
        <v>1362</v>
      </c>
      <c r="K93" s="3">
        <v>57</v>
      </c>
      <c r="L93" s="4" t="s">
        <v>0</v>
      </c>
      <c r="M93" s="4" t="s">
        <v>118</v>
      </c>
      <c r="N93" s="5">
        <v>2289.7600000000002</v>
      </c>
      <c r="O93" s="6">
        <v>40852</v>
      </c>
      <c r="P93" s="3"/>
      <c r="Q93" s="4" t="s">
        <v>2072</v>
      </c>
      <c r="R93" s="54">
        <v>4</v>
      </c>
      <c r="S93" s="69" t="s">
        <v>3060</v>
      </c>
      <c r="T93" s="55"/>
      <c r="U93" s="57">
        <v>2.85</v>
      </c>
      <c r="V93" s="55">
        <v>14</v>
      </c>
      <c r="W93" s="55">
        <v>28</v>
      </c>
      <c r="X93" s="58">
        <v>79.8</v>
      </c>
      <c r="Y93" s="54"/>
      <c r="Z93" s="69"/>
      <c r="AA93" s="55"/>
      <c r="AB93" s="55"/>
      <c r="AC93" s="55"/>
      <c r="AD93" s="55"/>
      <c r="AE93" s="56"/>
      <c r="AF93" s="54"/>
      <c r="AG93" s="69"/>
      <c r="AH93" s="55"/>
      <c r="AI93" s="55"/>
      <c r="AJ93" s="55"/>
      <c r="AK93" s="55"/>
      <c r="AL93" s="56"/>
      <c r="AM93" s="54"/>
      <c r="AN93" s="69"/>
      <c r="AO93" s="55"/>
      <c r="AP93" s="55"/>
      <c r="AQ93" s="55"/>
      <c r="AR93" s="55"/>
      <c r="AS93" s="56"/>
      <c r="AT93" s="54"/>
      <c r="AU93" s="69"/>
      <c r="AV93" s="55"/>
      <c r="AW93" s="55"/>
      <c r="AX93" s="55"/>
      <c r="AY93" s="55"/>
      <c r="AZ93" s="56"/>
      <c r="BA93" s="65">
        <f t="shared" si="3"/>
        <v>79.8</v>
      </c>
      <c r="BB93" s="73">
        <f>VLOOKUP($C93,'REL. VT'!$C:Y,23,0)</f>
        <v>14</v>
      </c>
      <c r="BC93" s="74">
        <f>VLOOKUP($C93,'REL. VT'!$C:Z,24,0)</f>
        <v>2</v>
      </c>
      <c r="BD93" s="65">
        <f>VLOOKUP($C93,'REL. VT'!$C:AA,25,0)</f>
        <v>2.85</v>
      </c>
      <c r="BE93" s="97">
        <f>BB93*BC93*BD93</f>
        <v>79.8</v>
      </c>
      <c r="BF93" s="73"/>
      <c r="BG93" s="74"/>
      <c r="BH93" s="65"/>
      <c r="BI93" s="94"/>
      <c r="BJ93" s="73"/>
      <c r="BK93" s="74"/>
      <c r="BL93" s="65"/>
      <c r="BM93" s="94"/>
      <c r="BN93" s="65">
        <f t="shared" si="4"/>
        <v>79.8</v>
      </c>
      <c r="BO93" s="65" t="b">
        <f t="shared" si="5"/>
        <v>1</v>
      </c>
      <c r="BP93" s="70" t="s">
        <v>708</v>
      </c>
      <c r="BQ93" s="69" t="s">
        <v>1172</v>
      </c>
      <c r="BR93" s="55">
        <v>20</v>
      </c>
      <c r="BS93" s="57">
        <v>9.8000000000000007</v>
      </c>
      <c r="BT93" s="98">
        <v>196</v>
      </c>
      <c r="BU93" s="70" t="s">
        <v>3134</v>
      </c>
      <c r="BV93" s="69" t="s">
        <v>3135</v>
      </c>
      <c r="BW93" s="57">
        <v>0.01</v>
      </c>
      <c r="BX93" s="55"/>
      <c r="BY93" s="55">
        <v>1</v>
      </c>
      <c r="BZ93" s="58">
        <v>0.01</v>
      </c>
      <c r="CA93" s="70"/>
      <c r="CB93" s="69"/>
      <c r="CC93" s="55"/>
      <c r="CD93" s="55"/>
      <c r="CE93" s="55"/>
      <c r="CF93" s="56"/>
      <c r="CG93" s="5">
        <v>79.8</v>
      </c>
      <c r="CH93" s="5">
        <v>39.200000000000003</v>
      </c>
      <c r="CI93" s="3"/>
      <c r="CJ93" s="3"/>
      <c r="CK93" s="3"/>
      <c r="CL93" s="3"/>
      <c r="CM93" s="3"/>
      <c r="CN93" s="3"/>
      <c r="CO93" s="3"/>
      <c r="CP93" s="3"/>
    </row>
    <row r="94" spans="1:94">
      <c r="A94" s="3">
        <v>56035</v>
      </c>
      <c r="B94" s="4" t="s">
        <v>1505</v>
      </c>
      <c r="C94" s="4" t="s">
        <v>54</v>
      </c>
      <c r="D94" s="4" t="s">
        <v>797</v>
      </c>
      <c r="E94" s="4" t="s">
        <v>798</v>
      </c>
      <c r="F94" s="4" t="s">
        <v>1464</v>
      </c>
      <c r="G94" s="4" t="s">
        <v>1465</v>
      </c>
      <c r="H94" s="4" t="s">
        <v>1466</v>
      </c>
      <c r="I94" s="4" t="s">
        <v>188</v>
      </c>
      <c r="J94" s="4" t="s">
        <v>1362</v>
      </c>
      <c r="K94" s="3">
        <v>57</v>
      </c>
      <c r="L94" s="4" t="s">
        <v>0</v>
      </c>
      <c r="M94" s="4" t="s">
        <v>278</v>
      </c>
      <c r="N94" s="5">
        <v>2110.38</v>
      </c>
      <c r="O94" s="6">
        <v>40852</v>
      </c>
      <c r="P94" s="3"/>
      <c r="Q94" s="4" t="s">
        <v>2072</v>
      </c>
      <c r="R94" s="54">
        <v>513</v>
      </c>
      <c r="S94" s="69" t="s">
        <v>3049</v>
      </c>
      <c r="T94" s="55"/>
      <c r="U94" s="57">
        <v>3</v>
      </c>
      <c r="V94" s="55">
        <v>15</v>
      </c>
      <c r="W94" s="55">
        <v>30</v>
      </c>
      <c r="X94" s="58">
        <v>90</v>
      </c>
      <c r="Y94" s="54"/>
      <c r="Z94" s="69"/>
      <c r="AA94" s="55"/>
      <c r="AB94" s="55"/>
      <c r="AC94" s="55"/>
      <c r="AD94" s="55"/>
      <c r="AE94" s="56"/>
      <c r="AF94" s="54"/>
      <c r="AG94" s="69"/>
      <c r="AH94" s="55"/>
      <c r="AI94" s="55"/>
      <c r="AJ94" s="55"/>
      <c r="AK94" s="55"/>
      <c r="AL94" s="56"/>
      <c r="AM94" s="54"/>
      <c r="AN94" s="69"/>
      <c r="AO94" s="55"/>
      <c r="AP94" s="55"/>
      <c r="AQ94" s="55"/>
      <c r="AR94" s="55"/>
      <c r="AS94" s="56"/>
      <c r="AT94" s="54"/>
      <c r="AU94" s="69"/>
      <c r="AV94" s="55"/>
      <c r="AW94" s="55"/>
      <c r="AX94" s="55"/>
      <c r="AY94" s="55"/>
      <c r="AZ94" s="56"/>
      <c r="BA94" s="65">
        <f t="shared" si="3"/>
        <v>90</v>
      </c>
      <c r="BB94" s="73"/>
      <c r="BC94" s="74"/>
      <c r="BD94" s="65"/>
      <c r="BE94" s="94"/>
      <c r="BF94" s="73">
        <f>VLOOKUP($C94,'REL. VT'!$C:AF,30,0)</f>
        <v>15</v>
      </c>
      <c r="BG94" s="74">
        <f>VLOOKUP($C94,'REL. VT'!$C:AG,31,0)</f>
        <v>2</v>
      </c>
      <c r="BH94" s="65">
        <f>VLOOKUP($C94,'REL. VT'!$C:AH,32,0)</f>
        <v>3</v>
      </c>
      <c r="BI94" s="97">
        <f>BF94*BG94*BH94</f>
        <v>90</v>
      </c>
      <c r="BJ94" s="73"/>
      <c r="BK94" s="74"/>
      <c r="BL94" s="65"/>
      <c r="BM94" s="94"/>
      <c r="BN94" s="65">
        <f t="shared" si="4"/>
        <v>90</v>
      </c>
      <c r="BO94" s="65" t="b">
        <f t="shared" si="5"/>
        <v>1</v>
      </c>
      <c r="BP94" s="70" t="s">
        <v>708</v>
      </c>
      <c r="BQ94" s="69" t="s">
        <v>1172</v>
      </c>
      <c r="BR94" s="55">
        <v>21</v>
      </c>
      <c r="BS94" s="57">
        <v>9.8000000000000007</v>
      </c>
      <c r="BT94" s="98">
        <v>205.8</v>
      </c>
      <c r="BU94" s="70" t="s">
        <v>3134</v>
      </c>
      <c r="BV94" s="69" t="s">
        <v>3135</v>
      </c>
      <c r="BW94" s="57">
        <v>0.01</v>
      </c>
      <c r="BX94" s="55"/>
      <c r="BY94" s="55">
        <v>1</v>
      </c>
      <c r="BZ94" s="58">
        <v>0.01</v>
      </c>
      <c r="CA94" s="70"/>
      <c r="CB94" s="69"/>
      <c r="CC94" s="55"/>
      <c r="CD94" s="55"/>
      <c r="CE94" s="55"/>
      <c r="CF94" s="56"/>
      <c r="CG94" s="5">
        <v>90</v>
      </c>
      <c r="CH94" s="5">
        <v>41.16</v>
      </c>
      <c r="CI94" s="3"/>
      <c r="CJ94" s="3"/>
      <c r="CK94" s="3"/>
      <c r="CL94" s="3"/>
      <c r="CM94" s="3"/>
      <c r="CN94" s="3"/>
      <c r="CO94" s="3"/>
      <c r="CP94" s="3"/>
    </row>
    <row r="95" spans="1:94">
      <c r="A95" s="3">
        <v>56016</v>
      </c>
      <c r="B95" s="4" t="s">
        <v>1506</v>
      </c>
      <c r="C95" s="4" t="s">
        <v>38</v>
      </c>
      <c r="D95" s="4" t="s">
        <v>306</v>
      </c>
      <c r="E95" s="4" t="s">
        <v>307</v>
      </c>
      <c r="F95" s="4" t="s">
        <v>1379</v>
      </c>
      <c r="G95" s="4" t="s">
        <v>1380</v>
      </c>
      <c r="H95" s="4" t="s">
        <v>1381</v>
      </c>
      <c r="I95" s="4" t="s">
        <v>188</v>
      </c>
      <c r="J95" s="4" t="s">
        <v>1362</v>
      </c>
      <c r="K95" s="3">
        <v>57</v>
      </c>
      <c r="L95" s="4" t="s">
        <v>0</v>
      </c>
      <c r="M95" s="4" t="s">
        <v>118</v>
      </c>
      <c r="N95" s="5">
        <v>2289.7600000000002</v>
      </c>
      <c r="O95" s="6">
        <v>40852</v>
      </c>
      <c r="P95" s="3"/>
      <c r="Q95" s="4" t="s">
        <v>2072</v>
      </c>
      <c r="R95" s="54">
        <v>4</v>
      </c>
      <c r="S95" s="69" t="s">
        <v>3060</v>
      </c>
      <c r="T95" s="55"/>
      <c r="U95" s="57">
        <v>2.85</v>
      </c>
      <c r="V95" s="55">
        <v>20</v>
      </c>
      <c r="W95" s="55">
        <v>40</v>
      </c>
      <c r="X95" s="58">
        <v>114</v>
      </c>
      <c r="Y95" s="54">
        <v>513</v>
      </c>
      <c r="Z95" s="69" t="s">
        <v>3049</v>
      </c>
      <c r="AA95" s="55"/>
      <c r="AB95" s="57">
        <v>3</v>
      </c>
      <c r="AC95" s="55">
        <v>20</v>
      </c>
      <c r="AD95" s="55">
        <v>40</v>
      </c>
      <c r="AE95" s="58">
        <v>120</v>
      </c>
      <c r="AF95" s="54"/>
      <c r="AG95" s="69"/>
      <c r="AH95" s="55"/>
      <c r="AI95" s="55"/>
      <c r="AJ95" s="55"/>
      <c r="AK95" s="55"/>
      <c r="AL95" s="56"/>
      <c r="AM95" s="54"/>
      <c r="AN95" s="69"/>
      <c r="AO95" s="55"/>
      <c r="AP95" s="55"/>
      <c r="AQ95" s="55"/>
      <c r="AR95" s="55"/>
      <c r="AS95" s="56"/>
      <c r="AT95" s="54"/>
      <c r="AU95" s="69"/>
      <c r="AV95" s="55"/>
      <c r="AW95" s="55"/>
      <c r="AX95" s="55"/>
      <c r="AY95" s="55"/>
      <c r="AZ95" s="56"/>
      <c r="BA95" s="65">
        <f t="shared" si="3"/>
        <v>234</v>
      </c>
      <c r="BB95" s="73">
        <f>VLOOKUP($C95,'REL. VT'!$C:Y,23,0)</f>
        <v>20</v>
      </c>
      <c r="BC95" s="74">
        <f>VLOOKUP($C95,'REL. VT'!$C:Z,24,0)</f>
        <v>2</v>
      </c>
      <c r="BD95" s="65">
        <f>VLOOKUP($C95,'REL. VT'!$C:AA,25,0)</f>
        <v>2.85</v>
      </c>
      <c r="BE95" s="97">
        <f>BB95*BC95*BD95</f>
        <v>114</v>
      </c>
      <c r="BF95" s="73">
        <f>VLOOKUP($C95,'REL. VT'!$C:AF,30,0)</f>
        <v>20</v>
      </c>
      <c r="BG95" s="74">
        <f>VLOOKUP($C95,'REL. VT'!$C:AG,31,0)</f>
        <v>2</v>
      </c>
      <c r="BH95" s="65">
        <f>VLOOKUP($C95,'REL. VT'!$C:AH,32,0)</f>
        <v>3</v>
      </c>
      <c r="BI95" s="97">
        <f>BF95*BG95*BH95</f>
        <v>120</v>
      </c>
      <c r="BJ95" s="73"/>
      <c r="BK95" s="74"/>
      <c r="BL95" s="65"/>
      <c r="BM95" s="94"/>
      <c r="BN95" s="65">
        <f t="shared" si="4"/>
        <v>234</v>
      </c>
      <c r="BO95" s="65" t="b">
        <f t="shared" si="5"/>
        <v>1</v>
      </c>
      <c r="BP95" s="70" t="s">
        <v>708</v>
      </c>
      <c r="BQ95" s="69" t="s">
        <v>1172</v>
      </c>
      <c r="BR95" s="55">
        <v>20</v>
      </c>
      <c r="BS95" s="57">
        <v>9.8000000000000007</v>
      </c>
      <c r="BT95" s="98">
        <v>196</v>
      </c>
      <c r="BU95" s="70" t="s">
        <v>3134</v>
      </c>
      <c r="BV95" s="69" t="s">
        <v>3135</v>
      </c>
      <c r="BW95" s="57">
        <v>0.01</v>
      </c>
      <c r="BX95" s="55"/>
      <c r="BY95" s="55">
        <v>1</v>
      </c>
      <c r="BZ95" s="58">
        <v>0.01</v>
      </c>
      <c r="CA95" s="70"/>
      <c r="CB95" s="69"/>
      <c r="CC95" s="55"/>
      <c r="CD95" s="55"/>
      <c r="CE95" s="55"/>
      <c r="CF95" s="56"/>
      <c r="CG95" s="5">
        <v>137.38999999999999</v>
      </c>
      <c r="CH95" s="5">
        <v>39.200000000000003</v>
      </c>
      <c r="CI95" s="3"/>
      <c r="CJ95" s="3"/>
      <c r="CK95" s="3"/>
      <c r="CL95" s="3"/>
      <c r="CM95" s="3"/>
      <c r="CN95" s="3"/>
      <c r="CO95" s="3"/>
      <c r="CP95" s="3"/>
    </row>
    <row r="96" spans="1:94">
      <c r="A96" s="3">
        <v>56049</v>
      </c>
      <c r="B96" s="4" t="s">
        <v>1507</v>
      </c>
      <c r="C96" s="4" t="s">
        <v>39</v>
      </c>
      <c r="D96" s="4" t="s">
        <v>306</v>
      </c>
      <c r="E96" s="4" t="s">
        <v>307</v>
      </c>
      <c r="F96" s="4" t="s">
        <v>1379</v>
      </c>
      <c r="G96" s="4" t="s">
        <v>1380</v>
      </c>
      <c r="H96" s="4" t="s">
        <v>1381</v>
      </c>
      <c r="I96" s="4" t="s">
        <v>188</v>
      </c>
      <c r="J96" s="4" t="s">
        <v>1362</v>
      </c>
      <c r="K96" s="3">
        <v>57</v>
      </c>
      <c r="L96" s="4" t="s">
        <v>0</v>
      </c>
      <c r="M96" s="4" t="s">
        <v>118</v>
      </c>
      <c r="N96" s="5">
        <v>2289.7600000000002</v>
      </c>
      <c r="O96" s="6">
        <v>40852</v>
      </c>
      <c r="P96" s="3"/>
      <c r="Q96" s="4" t="s">
        <v>2072</v>
      </c>
      <c r="R96" s="54">
        <v>4</v>
      </c>
      <c r="S96" s="69" t="s">
        <v>3060</v>
      </c>
      <c r="T96" s="55"/>
      <c r="U96" s="57">
        <v>2.85</v>
      </c>
      <c r="V96" s="55">
        <v>13</v>
      </c>
      <c r="W96" s="55">
        <v>26</v>
      </c>
      <c r="X96" s="58">
        <v>74.099999999999994</v>
      </c>
      <c r="Y96" s="54">
        <v>706</v>
      </c>
      <c r="Z96" s="69" t="s">
        <v>3061</v>
      </c>
      <c r="AA96" s="55"/>
      <c r="AB96" s="57">
        <v>1.43</v>
      </c>
      <c r="AC96" s="55">
        <v>13</v>
      </c>
      <c r="AD96" s="55">
        <v>26</v>
      </c>
      <c r="AE96" s="58">
        <v>37.18</v>
      </c>
      <c r="AF96" s="54"/>
      <c r="AG96" s="69"/>
      <c r="AH96" s="55"/>
      <c r="AI96" s="55"/>
      <c r="AJ96" s="55"/>
      <c r="AK96" s="55"/>
      <c r="AL96" s="56"/>
      <c r="AM96" s="54"/>
      <c r="AN96" s="69"/>
      <c r="AO96" s="55"/>
      <c r="AP96" s="55"/>
      <c r="AQ96" s="55"/>
      <c r="AR96" s="55"/>
      <c r="AS96" s="56"/>
      <c r="AT96" s="54"/>
      <c r="AU96" s="69"/>
      <c r="AV96" s="55"/>
      <c r="AW96" s="55"/>
      <c r="AX96" s="55"/>
      <c r="AY96" s="55"/>
      <c r="AZ96" s="56"/>
      <c r="BA96" s="65">
        <f t="shared" si="3"/>
        <v>111.28</v>
      </c>
      <c r="BB96" s="73">
        <f>VLOOKUP($C96,'REL. VT'!$C:Y,23,0)</f>
        <v>13</v>
      </c>
      <c r="BC96" s="74">
        <f>VLOOKUP($C96,'REL. VT'!$C:Z,24,0)</f>
        <v>2</v>
      </c>
      <c r="BD96" s="65">
        <f>VLOOKUP($C96,'REL. VT'!$C:AA,25,0)</f>
        <v>4.28</v>
      </c>
      <c r="BE96" s="97">
        <f>BB96*BC96*BD96</f>
        <v>111.28</v>
      </c>
      <c r="BF96" s="73"/>
      <c r="BG96" s="74"/>
      <c r="BH96" s="65"/>
      <c r="BI96" s="94"/>
      <c r="BJ96" s="73"/>
      <c r="BK96" s="74"/>
      <c r="BL96" s="65"/>
      <c r="BM96" s="94"/>
      <c r="BN96" s="65">
        <f t="shared" si="4"/>
        <v>111.28</v>
      </c>
      <c r="BO96" s="65" t="b">
        <f t="shared" si="5"/>
        <v>1</v>
      </c>
      <c r="BP96" s="70" t="s">
        <v>708</v>
      </c>
      <c r="BQ96" s="69" t="s">
        <v>1172</v>
      </c>
      <c r="BR96" s="55">
        <v>20</v>
      </c>
      <c r="BS96" s="57">
        <v>9.8000000000000007</v>
      </c>
      <c r="BT96" s="98">
        <v>196</v>
      </c>
      <c r="BU96" s="70" t="s">
        <v>3134</v>
      </c>
      <c r="BV96" s="69" t="s">
        <v>3135</v>
      </c>
      <c r="BW96" s="57">
        <v>0.01</v>
      </c>
      <c r="BX96" s="55"/>
      <c r="BY96" s="55">
        <v>1</v>
      </c>
      <c r="BZ96" s="58">
        <v>0.01</v>
      </c>
      <c r="CA96" s="70"/>
      <c r="CB96" s="69"/>
      <c r="CC96" s="55"/>
      <c r="CD96" s="55"/>
      <c r="CE96" s="55"/>
      <c r="CF96" s="56"/>
      <c r="CG96" s="5">
        <v>111.28</v>
      </c>
      <c r="CH96" s="5">
        <v>39.200000000000003</v>
      </c>
      <c r="CI96" s="3"/>
      <c r="CJ96" s="3"/>
      <c r="CK96" s="3"/>
      <c r="CL96" s="3"/>
      <c r="CM96" s="3"/>
      <c r="CN96" s="3"/>
      <c r="CO96" s="3"/>
      <c r="CP96" s="3"/>
    </row>
    <row r="97" spans="1:94">
      <c r="A97" s="3">
        <v>56099</v>
      </c>
      <c r="B97" s="4" t="s">
        <v>1508</v>
      </c>
      <c r="C97" s="4" t="s">
        <v>97</v>
      </c>
      <c r="D97" s="4" t="s">
        <v>416</v>
      </c>
      <c r="E97" s="4" t="s">
        <v>417</v>
      </c>
      <c r="F97" s="4" t="s">
        <v>1388</v>
      </c>
      <c r="G97" s="4" t="s">
        <v>1389</v>
      </c>
      <c r="H97" s="4" t="s">
        <v>1390</v>
      </c>
      <c r="I97" s="4" t="s">
        <v>188</v>
      </c>
      <c r="J97" s="4" t="s">
        <v>1362</v>
      </c>
      <c r="K97" s="3">
        <v>57</v>
      </c>
      <c r="L97" s="4" t="s">
        <v>0</v>
      </c>
      <c r="M97" s="4" t="s">
        <v>123</v>
      </c>
      <c r="N97" s="5">
        <v>2110.38</v>
      </c>
      <c r="O97" s="6">
        <v>40852</v>
      </c>
      <c r="P97" s="3"/>
      <c r="Q97" s="4" t="s">
        <v>2072</v>
      </c>
      <c r="R97" s="54"/>
      <c r="S97" s="69"/>
      <c r="T97" s="55"/>
      <c r="U97" s="55"/>
      <c r="V97" s="55"/>
      <c r="W97" s="55"/>
      <c r="X97" s="56"/>
      <c r="Y97" s="54"/>
      <c r="Z97" s="69"/>
      <c r="AA97" s="55"/>
      <c r="AB97" s="55"/>
      <c r="AC97" s="55"/>
      <c r="AD97" s="55"/>
      <c r="AE97" s="56"/>
      <c r="AF97" s="54"/>
      <c r="AG97" s="69"/>
      <c r="AH97" s="55"/>
      <c r="AI97" s="55"/>
      <c r="AJ97" s="55"/>
      <c r="AK97" s="55"/>
      <c r="AL97" s="56"/>
      <c r="AM97" s="54"/>
      <c r="AN97" s="69"/>
      <c r="AO97" s="55"/>
      <c r="AP97" s="55"/>
      <c r="AQ97" s="55"/>
      <c r="AR97" s="55"/>
      <c r="AS97" s="56"/>
      <c r="AT97" s="54"/>
      <c r="AU97" s="69"/>
      <c r="AV97" s="55"/>
      <c r="AW97" s="55"/>
      <c r="AX97" s="55"/>
      <c r="AY97" s="55"/>
      <c r="AZ97" s="56"/>
      <c r="BA97" s="65">
        <f t="shared" si="3"/>
        <v>0</v>
      </c>
      <c r="BB97" s="73"/>
      <c r="BC97" s="74"/>
      <c r="BD97" s="65"/>
      <c r="BE97" s="94"/>
      <c r="BF97" s="73"/>
      <c r="BG97" s="74"/>
      <c r="BH97" s="65"/>
      <c r="BI97" s="94"/>
      <c r="BJ97" s="73"/>
      <c r="BK97" s="74"/>
      <c r="BL97" s="65"/>
      <c r="BM97" s="94"/>
      <c r="BN97" s="65">
        <f t="shared" si="4"/>
        <v>0</v>
      </c>
      <c r="BO97" s="65" t="b">
        <f t="shared" si="5"/>
        <v>1</v>
      </c>
      <c r="BP97" s="70" t="s">
        <v>708</v>
      </c>
      <c r="BQ97" s="69" t="s">
        <v>1172</v>
      </c>
      <c r="BR97" s="55">
        <v>20</v>
      </c>
      <c r="BS97" s="57">
        <v>9.8000000000000007</v>
      </c>
      <c r="BT97" s="98">
        <v>196</v>
      </c>
      <c r="BU97" s="70" t="s">
        <v>3134</v>
      </c>
      <c r="BV97" s="69" t="s">
        <v>3135</v>
      </c>
      <c r="BW97" s="57">
        <v>0.01</v>
      </c>
      <c r="BX97" s="55"/>
      <c r="BY97" s="55">
        <v>1</v>
      </c>
      <c r="BZ97" s="58">
        <v>0.01</v>
      </c>
      <c r="CA97" s="70"/>
      <c r="CB97" s="69"/>
      <c r="CC97" s="55"/>
      <c r="CD97" s="55"/>
      <c r="CE97" s="55"/>
      <c r="CF97" s="56"/>
      <c r="CG97" s="3"/>
      <c r="CH97" s="5">
        <v>39.200000000000003</v>
      </c>
      <c r="CI97" s="3"/>
      <c r="CJ97" s="3"/>
      <c r="CK97" s="3"/>
      <c r="CL97" s="3"/>
      <c r="CM97" s="3"/>
      <c r="CN97" s="3"/>
      <c r="CO97" s="3"/>
      <c r="CP97" s="3"/>
    </row>
    <row r="98" spans="1:94">
      <c r="A98" s="3">
        <v>56023</v>
      </c>
      <c r="B98" s="4" t="s">
        <v>1509</v>
      </c>
      <c r="C98" s="4" t="s">
        <v>40</v>
      </c>
      <c r="D98" s="4" t="s">
        <v>306</v>
      </c>
      <c r="E98" s="4" t="s">
        <v>307</v>
      </c>
      <c r="F98" s="4" t="s">
        <v>1379</v>
      </c>
      <c r="G98" s="4" t="s">
        <v>1380</v>
      </c>
      <c r="H98" s="4" t="s">
        <v>1381</v>
      </c>
      <c r="I98" s="4" t="s">
        <v>188</v>
      </c>
      <c r="J98" s="4" t="s">
        <v>1362</v>
      </c>
      <c r="K98" s="3">
        <v>57</v>
      </c>
      <c r="L98" s="4" t="s">
        <v>0</v>
      </c>
      <c r="M98" s="4" t="s">
        <v>118</v>
      </c>
      <c r="N98" s="5">
        <v>2289.7600000000002</v>
      </c>
      <c r="O98" s="6">
        <v>40852</v>
      </c>
      <c r="P98" s="3"/>
      <c r="Q98" s="4" t="s">
        <v>2072</v>
      </c>
      <c r="R98" s="54"/>
      <c r="S98" s="69"/>
      <c r="T98" s="55"/>
      <c r="U98" s="55"/>
      <c r="V98" s="55"/>
      <c r="W98" s="55"/>
      <c r="X98" s="56"/>
      <c r="Y98" s="54"/>
      <c r="Z98" s="69"/>
      <c r="AA98" s="55"/>
      <c r="AB98" s="55"/>
      <c r="AC98" s="55"/>
      <c r="AD98" s="55"/>
      <c r="AE98" s="56"/>
      <c r="AF98" s="54"/>
      <c r="AG98" s="69"/>
      <c r="AH98" s="55"/>
      <c r="AI98" s="55"/>
      <c r="AJ98" s="55"/>
      <c r="AK98" s="55"/>
      <c r="AL98" s="56"/>
      <c r="AM98" s="54"/>
      <c r="AN98" s="69"/>
      <c r="AO98" s="55"/>
      <c r="AP98" s="55"/>
      <c r="AQ98" s="55"/>
      <c r="AR98" s="55"/>
      <c r="AS98" s="56"/>
      <c r="AT98" s="54"/>
      <c r="AU98" s="69"/>
      <c r="AV98" s="55"/>
      <c r="AW98" s="55"/>
      <c r="AX98" s="55"/>
      <c r="AY98" s="55"/>
      <c r="AZ98" s="56"/>
      <c r="BA98" s="65">
        <f t="shared" si="3"/>
        <v>0</v>
      </c>
      <c r="BB98" s="73"/>
      <c r="BC98" s="74"/>
      <c r="BD98" s="65"/>
      <c r="BE98" s="94"/>
      <c r="BF98" s="73"/>
      <c r="BG98" s="74"/>
      <c r="BH98" s="65"/>
      <c r="BI98" s="94"/>
      <c r="BJ98" s="73"/>
      <c r="BK98" s="74"/>
      <c r="BL98" s="65"/>
      <c r="BM98" s="94"/>
      <c r="BN98" s="65">
        <f t="shared" si="4"/>
        <v>0</v>
      </c>
      <c r="BO98" s="65" t="b">
        <f t="shared" si="5"/>
        <v>1</v>
      </c>
      <c r="BP98" s="70" t="s">
        <v>708</v>
      </c>
      <c r="BQ98" s="69" t="s">
        <v>1172</v>
      </c>
      <c r="BR98" s="55">
        <v>20</v>
      </c>
      <c r="BS98" s="57">
        <v>9.8000000000000007</v>
      </c>
      <c r="BT98" s="98">
        <v>196</v>
      </c>
      <c r="BU98" s="70" t="s">
        <v>3134</v>
      </c>
      <c r="BV98" s="69" t="s">
        <v>3135</v>
      </c>
      <c r="BW98" s="57">
        <v>0.01</v>
      </c>
      <c r="BX98" s="55"/>
      <c r="BY98" s="55">
        <v>1</v>
      </c>
      <c r="BZ98" s="58">
        <v>0.01</v>
      </c>
      <c r="CA98" s="70"/>
      <c r="CB98" s="69"/>
      <c r="CC98" s="55"/>
      <c r="CD98" s="55"/>
      <c r="CE98" s="55"/>
      <c r="CF98" s="56"/>
      <c r="CG98" s="3"/>
      <c r="CH98" s="5">
        <v>39.200000000000003</v>
      </c>
      <c r="CI98" s="3"/>
      <c r="CJ98" s="3"/>
      <c r="CK98" s="3"/>
      <c r="CL98" s="3"/>
      <c r="CM98" s="3"/>
      <c r="CN98" s="3"/>
      <c r="CO98" s="3"/>
      <c r="CP98" s="3"/>
    </row>
    <row r="99" spans="1:94">
      <c r="A99" s="3">
        <v>56029</v>
      </c>
      <c r="B99" s="4" t="s">
        <v>1510</v>
      </c>
      <c r="C99" s="4" t="s">
        <v>41</v>
      </c>
      <c r="D99" s="4" t="s">
        <v>3039</v>
      </c>
      <c r="E99" s="4" t="s">
        <v>3040</v>
      </c>
      <c r="F99" s="4" t="s">
        <v>3038</v>
      </c>
      <c r="G99" s="4" t="s">
        <v>3053</v>
      </c>
      <c r="H99" s="4" t="s">
        <v>3040</v>
      </c>
      <c r="I99" s="4" t="s">
        <v>188</v>
      </c>
      <c r="J99" s="4" t="s">
        <v>1362</v>
      </c>
      <c r="K99" s="3">
        <v>57</v>
      </c>
      <c r="L99" s="4" t="s">
        <v>0</v>
      </c>
      <c r="M99" s="4" t="s">
        <v>1220</v>
      </c>
      <c r="N99" s="5">
        <v>2289.7600000000002</v>
      </c>
      <c r="O99" s="6">
        <v>40852</v>
      </c>
      <c r="P99" s="3"/>
      <c r="Q99" s="4" t="s">
        <v>2072</v>
      </c>
      <c r="R99" s="54">
        <v>328</v>
      </c>
      <c r="S99" s="69" t="s">
        <v>3050</v>
      </c>
      <c r="T99" s="55"/>
      <c r="U99" s="57">
        <v>3.7</v>
      </c>
      <c r="V99" s="55">
        <v>20</v>
      </c>
      <c r="W99" s="55">
        <v>40</v>
      </c>
      <c r="X99" s="58">
        <v>148</v>
      </c>
      <c r="Y99" s="54"/>
      <c r="Z99" s="69"/>
      <c r="AA99" s="55"/>
      <c r="AB99" s="55"/>
      <c r="AC99" s="55"/>
      <c r="AD99" s="55"/>
      <c r="AE99" s="56"/>
      <c r="AF99" s="54"/>
      <c r="AG99" s="69"/>
      <c r="AH99" s="55"/>
      <c r="AI99" s="55"/>
      <c r="AJ99" s="55"/>
      <c r="AK99" s="55"/>
      <c r="AL99" s="56"/>
      <c r="AM99" s="54"/>
      <c r="AN99" s="69"/>
      <c r="AO99" s="55"/>
      <c r="AP99" s="55"/>
      <c r="AQ99" s="55"/>
      <c r="AR99" s="55"/>
      <c r="AS99" s="56"/>
      <c r="AT99" s="54"/>
      <c r="AU99" s="69"/>
      <c r="AV99" s="55"/>
      <c r="AW99" s="55"/>
      <c r="AX99" s="55"/>
      <c r="AY99" s="55"/>
      <c r="AZ99" s="56"/>
      <c r="BA99" s="65">
        <f t="shared" si="3"/>
        <v>148</v>
      </c>
      <c r="BB99" s="73"/>
      <c r="BC99" s="74"/>
      <c r="BD99" s="65"/>
      <c r="BE99" s="94"/>
      <c r="BF99" s="73">
        <f>VLOOKUP($C99,'REL. VT'!$C:AF,30,0)</f>
        <v>20</v>
      </c>
      <c r="BG99" s="74">
        <f>VLOOKUP($C99,'REL. VT'!$C:AG,31,0)</f>
        <v>2</v>
      </c>
      <c r="BH99" s="65">
        <f>VLOOKUP($C99,'REL. VT'!$C:AH,32,0)</f>
        <v>3.7</v>
      </c>
      <c r="BI99" s="97">
        <f>BF99*BG99*BH99</f>
        <v>148</v>
      </c>
      <c r="BJ99" s="73"/>
      <c r="BK99" s="74"/>
      <c r="BL99" s="65"/>
      <c r="BM99" s="94"/>
      <c r="BN99" s="65">
        <f t="shared" si="4"/>
        <v>148</v>
      </c>
      <c r="BO99" s="65" t="b">
        <f t="shared" si="5"/>
        <v>1</v>
      </c>
      <c r="BP99" s="70" t="s">
        <v>708</v>
      </c>
      <c r="BQ99" s="69" t="s">
        <v>1172</v>
      </c>
      <c r="BR99" s="55">
        <v>20</v>
      </c>
      <c r="BS99" s="57">
        <v>9.8000000000000007</v>
      </c>
      <c r="BT99" s="98">
        <v>196</v>
      </c>
      <c r="BU99" s="70" t="s">
        <v>3134</v>
      </c>
      <c r="BV99" s="69" t="s">
        <v>3135</v>
      </c>
      <c r="BW99" s="57">
        <v>0.01</v>
      </c>
      <c r="BX99" s="55"/>
      <c r="BY99" s="55">
        <v>1</v>
      </c>
      <c r="BZ99" s="58">
        <v>0.01</v>
      </c>
      <c r="CA99" s="70"/>
      <c r="CB99" s="69"/>
      <c r="CC99" s="55"/>
      <c r="CD99" s="55"/>
      <c r="CE99" s="55"/>
      <c r="CF99" s="56"/>
      <c r="CG99" s="5">
        <v>137.38999999999999</v>
      </c>
      <c r="CH99" s="5">
        <v>39.200000000000003</v>
      </c>
      <c r="CI99" s="3"/>
      <c r="CJ99" s="3"/>
      <c r="CK99" s="3"/>
      <c r="CL99" s="3"/>
      <c r="CM99" s="3"/>
      <c r="CN99" s="3"/>
      <c r="CO99" s="3"/>
      <c r="CP99" s="3"/>
    </row>
    <row r="100" spans="1:94">
      <c r="A100" s="3">
        <v>56027</v>
      </c>
      <c r="B100" s="4" t="s">
        <v>1511</v>
      </c>
      <c r="C100" s="4" t="s">
        <v>42</v>
      </c>
      <c r="D100" s="4" t="s">
        <v>306</v>
      </c>
      <c r="E100" s="4" t="s">
        <v>307</v>
      </c>
      <c r="F100" s="4" t="s">
        <v>1379</v>
      </c>
      <c r="G100" s="4" t="s">
        <v>1380</v>
      </c>
      <c r="H100" s="4" t="s">
        <v>1381</v>
      </c>
      <c r="I100" s="4" t="s">
        <v>188</v>
      </c>
      <c r="J100" s="4" t="s">
        <v>1362</v>
      </c>
      <c r="K100" s="3">
        <v>57</v>
      </c>
      <c r="L100" s="4" t="s">
        <v>0</v>
      </c>
      <c r="M100" s="4" t="s">
        <v>118</v>
      </c>
      <c r="N100" s="5">
        <v>2289.7600000000002</v>
      </c>
      <c r="O100" s="6">
        <v>40852</v>
      </c>
      <c r="P100" s="3"/>
      <c r="Q100" s="4" t="s">
        <v>2072</v>
      </c>
      <c r="R100" s="54">
        <v>4</v>
      </c>
      <c r="S100" s="69" t="s">
        <v>3060</v>
      </c>
      <c r="T100" s="55"/>
      <c r="U100" s="57">
        <v>2.85</v>
      </c>
      <c r="V100" s="55">
        <v>15</v>
      </c>
      <c r="W100" s="55">
        <v>30</v>
      </c>
      <c r="X100" s="58">
        <v>85.5</v>
      </c>
      <c r="Y100" s="54">
        <v>706</v>
      </c>
      <c r="Z100" s="69" t="s">
        <v>3061</v>
      </c>
      <c r="AA100" s="55"/>
      <c r="AB100" s="57">
        <v>1.43</v>
      </c>
      <c r="AC100" s="55">
        <v>15</v>
      </c>
      <c r="AD100" s="55">
        <v>30</v>
      </c>
      <c r="AE100" s="58">
        <v>42.9</v>
      </c>
      <c r="AF100" s="54"/>
      <c r="AG100" s="69"/>
      <c r="AH100" s="55"/>
      <c r="AI100" s="55"/>
      <c r="AJ100" s="55"/>
      <c r="AK100" s="55"/>
      <c r="AL100" s="56"/>
      <c r="AM100" s="54"/>
      <c r="AN100" s="69"/>
      <c r="AO100" s="55"/>
      <c r="AP100" s="55"/>
      <c r="AQ100" s="55"/>
      <c r="AR100" s="55"/>
      <c r="AS100" s="56"/>
      <c r="AT100" s="54"/>
      <c r="AU100" s="69"/>
      <c r="AV100" s="55"/>
      <c r="AW100" s="55"/>
      <c r="AX100" s="55"/>
      <c r="AY100" s="55"/>
      <c r="AZ100" s="56"/>
      <c r="BA100" s="65">
        <f t="shared" si="3"/>
        <v>128.4</v>
      </c>
      <c r="BB100" s="73">
        <f>VLOOKUP($C100,'REL. VT'!$C:Y,23,0)</f>
        <v>15</v>
      </c>
      <c r="BC100" s="74">
        <f>VLOOKUP($C100,'REL. VT'!$C:Z,24,0)</f>
        <v>2</v>
      </c>
      <c r="BD100" s="65">
        <f>VLOOKUP($C100,'REL. VT'!$C:AA,25,0)</f>
        <v>4.28</v>
      </c>
      <c r="BE100" s="97">
        <f>BB100*BC100*BD100</f>
        <v>128.4</v>
      </c>
      <c r="BF100" s="73"/>
      <c r="BG100" s="74"/>
      <c r="BH100" s="65"/>
      <c r="BI100" s="94"/>
      <c r="BJ100" s="73"/>
      <c r="BK100" s="74"/>
      <c r="BL100" s="65"/>
      <c r="BM100" s="94"/>
      <c r="BN100" s="65">
        <f t="shared" si="4"/>
        <v>128.4</v>
      </c>
      <c r="BO100" s="65" t="b">
        <f t="shared" si="5"/>
        <v>1</v>
      </c>
      <c r="BP100" s="70" t="s">
        <v>708</v>
      </c>
      <c r="BQ100" s="69" t="s">
        <v>1172</v>
      </c>
      <c r="BR100" s="55">
        <v>20</v>
      </c>
      <c r="BS100" s="57">
        <v>9.8000000000000007</v>
      </c>
      <c r="BT100" s="98">
        <v>196</v>
      </c>
      <c r="BU100" s="70" t="s">
        <v>3134</v>
      </c>
      <c r="BV100" s="69" t="s">
        <v>3135</v>
      </c>
      <c r="BW100" s="57">
        <v>0.01</v>
      </c>
      <c r="BX100" s="55"/>
      <c r="BY100" s="55">
        <v>1</v>
      </c>
      <c r="BZ100" s="58">
        <v>0.01</v>
      </c>
      <c r="CA100" s="70"/>
      <c r="CB100" s="69"/>
      <c r="CC100" s="55"/>
      <c r="CD100" s="55"/>
      <c r="CE100" s="55"/>
      <c r="CF100" s="56"/>
      <c r="CG100" s="5">
        <v>128.4</v>
      </c>
      <c r="CH100" s="5">
        <v>39.200000000000003</v>
      </c>
      <c r="CI100" s="3"/>
      <c r="CJ100" s="3"/>
      <c r="CK100" s="3"/>
      <c r="CL100" s="3"/>
      <c r="CM100" s="3"/>
      <c r="CN100" s="3"/>
      <c r="CO100" s="3"/>
      <c r="CP100" s="3"/>
    </row>
    <row r="101" spans="1:94">
      <c r="A101" s="3">
        <v>56025</v>
      </c>
      <c r="B101" s="4" t="s">
        <v>1512</v>
      </c>
      <c r="C101" s="4" t="s">
        <v>43</v>
      </c>
      <c r="D101" s="4" t="s">
        <v>306</v>
      </c>
      <c r="E101" s="4" t="s">
        <v>307</v>
      </c>
      <c r="F101" s="4" t="s">
        <v>1379</v>
      </c>
      <c r="G101" s="4" t="s">
        <v>1380</v>
      </c>
      <c r="H101" s="4" t="s">
        <v>1381</v>
      </c>
      <c r="I101" s="4" t="s">
        <v>188</v>
      </c>
      <c r="J101" s="4" t="s">
        <v>1362</v>
      </c>
      <c r="K101" s="3">
        <v>57</v>
      </c>
      <c r="L101" s="4" t="s">
        <v>0</v>
      </c>
      <c r="M101" s="4" t="s">
        <v>118</v>
      </c>
      <c r="N101" s="5">
        <v>2289.7600000000002</v>
      </c>
      <c r="O101" s="6">
        <v>40852</v>
      </c>
      <c r="P101" s="3"/>
      <c r="Q101" s="4" t="s">
        <v>2072</v>
      </c>
      <c r="R101" s="54">
        <v>1</v>
      </c>
      <c r="S101" s="69" t="s">
        <v>1271</v>
      </c>
      <c r="T101" s="55"/>
      <c r="U101" s="57">
        <v>1.8</v>
      </c>
      <c r="V101" s="55">
        <v>20</v>
      </c>
      <c r="W101" s="55">
        <v>20</v>
      </c>
      <c r="X101" s="58">
        <v>36</v>
      </c>
      <c r="Y101" s="54">
        <v>4</v>
      </c>
      <c r="Z101" s="69" t="s">
        <v>3060</v>
      </c>
      <c r="AA101" s="55"/>
      <c r="AB101" s="57">
        <v>2.85</v>
      </c>
      <c r="AC101" s="55">
        <v>20</v>
      </c>
      <c r="AD101" s="55">
        <v>20</v>
      </c>
      <c r="AE101" s="58">
        <v>57</v>
      </c>
      <c r="AF101" s="54">
        <v>332</v>
      </c>
      <c r="AG101" s="69" t="s">
        <v>3052</v>
      </c>
      <c r="AH101" s="55"/>
      <c r="AI101" s="57">
        <v>6.45</v>
      </c>
      <c r="AJ101" s="55">
        <v>11</v>
      </c>
      <c r="AK101" s="55">
        <v>22</v>
      </c>
      <c r="AL101" s="58">
        <v>141.9</v>
      </c>
      <c r="AM101" s="54">
        <v>811</v>
      </c>
      <c r="AN101" s="69" t="s">
        <v>1270</v>
      </c>
      <c r="AO101" s="55"/>
      <c r="AP101" s="57">
        <v>0.9</v>
      </c>
      <c r="AQ101" s="55">
        <v>20</v>
      </c>
      <c r="AR101" s="55">
        <v>20</v>
      </c>
      <c r="AS101" s="58">
        <v>18</v>
      </c>
      <c r="AT101" s="54">
        <v>812</v>
      </c>
      <c r="AU101" s="69" t="s">
        <v>3064</v>
      </c>
      <c r="AV101" s="55"/>
      <c r="AW101" s="57">
        <v>1.95</v>
      </c>
      <c r="AX101" s="55">
        <v>20</v>
      </c>
      <c r="AY101" s="55">
        <v>20</v>
      </c>
      <c r="AZ101" s="58">
        <v>39</v>
      </c>
      <c r="BA101" s="65">
        <f t="shared" si="3"/>
        <v>291.89999999999998</v>
      </c>
      <c r="BB101" s="73">
        <f>VLOOKUP($C101,'REL. VT'!$C:Y,23,0)</f>
        <v>20</v>
      </c>
      <c r="BC101" s="74">
        <f>VLOOKUP($C101,'REL. VT'!$C:Z,24,0)</f>
        <v>1</v>
      </c>
      <c r="BD101" s="65">
        <f>VLOOKUP($C101,'REL. VT'!$C:AA,25,0)</f>
        <v>7.5</v>
      </c>
      <c r="BE101" s="97">
        <f>BB101*BC101*BD101</f>
        <v>150</v>
      </c>
      <c r="BF101" s="73">
        <f>VLOOKUP($C101,'REL. VT'!$C:AF,30,0)</f>
        <v>11</v>
      </c>
      <c r="BG101" s="74">
        <f>VLOOKUP($C101,'REL. VT'!$C:AG,31,0)</f>
        <v>2</v>
      </c>
      <c r="BH101" s="65">
        <f>VLOOKUP($C101,'REL. VT'!$C:AH,32,0)</f>
        <v>6.45</v>
      </c>
      <c r="BI101" s="97">
        <f>BF101*BG101*BH101</f>
        <v>141.9</v>
      </c>
      <c r="BJ101" s="73"/>
      <c r="BK101" s="74"/>
      <c r="BL101" s="65"/>
      <c r="BM101" s="94"/>
      <c r="BN101" s="65">
        <f t="shared" si="4"/>
        <v>291.89999999999998</v>
      </c>
      <c r="BO101" s="65" t="b">
        <f t="shared" si="5"/>
        <v>1</v>
      </c>
      <c r="BP101" s="70" t="s">
        <v>708</v>
      </c>
      <c r="BQ101" s="69" t="s">
        <v>1172</v>
      </c>
      <c r="BR101" s="55">
        <v>20</v>
      </c>
      <c r="BS101" s="57">
        <v>9.8000000000000007</v>
      </c>
      <c r="BT101" s="98">
        <v>196</v>
      </c>
      <c r="BU101" s="70" t="s">
        <v>3134</v>
      </c>
      <c r="BV101" s="69" t="s">
        <v>3135</v>
      </c>
      <c r="BW101" s="57">
        <v>0.01</v>
      </c>
      <c r="BX101" s="55"/>
      <c r="BY101" s="55">
        <v>1</v>
      </c>
      <c r="BZ101" s="58">
        <v>0.01</v>
      </c>
      <c r="CA101" s="70"/>
      <c r="CB101" s="69"/>
      <c r="CC101" s="55"/>
      <c r="CD101" s="55"/>
      <c r="CE101" s="55"/>
      <c r="CF101" s="56"/>
      <c r="CG101" s="5">
        <v>137.38999999999999</v>
      </c>
      <c r="CH101" s="5">
        <v>39.200000000000003</v>
      </c>
      <c r="CI101" s="3"/>
      <c r="CJ101" s="3"/>
      <c r="CK101" s="3"/>
      <c r="CL101" s="3"/>
      <c r="CM101" s="3"/>
      <c r="CN101" s="3"/>
      <c r="CO101" s="3"/>
      <c r="CP101" s="3"/>
    </row>
    <row r="102" spans="1:94">
      <c r="A102" s="3">
        <v>56028</v>
      </c>
      <c r="B102" s="4" t="s">
        <v>1513</v>
      </c>
      <c r="C102" s="4" t="s">
        <v>44</v>
      </c>
      <c r="D102" s="4" t="s">
        <v>306</v>
      </c>
      <c r="E102" s="4" t="s">
        <v>307</v>
      </c>
      <c r="F102" s="4" t="s">
        <v>1379</v>
      </c>
      <c r="G102" s="4" t="s">
        <v>1380</v>
      </c>
      <c r="H102" s="4" t="s">
        <v>1381</v>
      </c>
      <c r="I102" s="4" t="s">
        <v>188</v>
      </c>
      <c r="J102" s="4" t="s">
        <v>1362</v>
      </c>
      <c r="K102" s="3">
        <v>57</v>
      </c>
      <c r="L102" s="4" t="s">
        <v>0</v>
      </c>
      <c r="M102" s="4" t="s">
        <v>118</v>
      </c>
      <c r="N102" s="5">
        <v>2289.7600000000002</v>
      </c>
      <c r="O102" s="6">
        <v>40852</v>
      </c>
      <c r="P102" s="3"/>
      <c r="Q102" s="4" t="s">
        <v>2072</v>
      </c>
      <c r="R102" s="54"/>
      <c r="S102" s="69"/>
      <c r="T102" s="55"/>
      <c r="U102" s="55"/>
      <c r="V102" s="55"/>
      <c r="W102" s="55"/>
      <c r="X102" s="56"/>
      <c r="Y102" s="54"/>
      <c r="Z102" s="69"/>
      <c r="AA102" s="55"/>
      <c r="AB102" s="55"/>
      <c r="AC102" s="55"/>
      <c r="AD102" s="55"/>
      <c r="AE102" s="56"/>
      <c r="AF102" s="54"/>
      <c r="AG102" s="69"/>
      <c r="AH102" s="55"/>
      <c r="AI102" s="55"/>
      <c r="AJ102" s="55"/>
      <c r="AK102" s="55"/>
      <c r="AL102" s="56"/>
      <c r="AM102" s="54"/>
      <c r="AN102" s="69"/>
      <c r="AO102" s="55"/>
      <c r="AP102" s="55"/>
      <c r="AQ102" s="55"/>
      <c r="AR102" s="55"/>
      <c r="AS102" s="56"/>
      <c r="AT102" s="54"/>
      <c r="AU102" s="69"/>
      <c r="AV102" s="55"/>
      <c r="AW102" s="55"/>
      <c r="AX102" s="55"/>
      <c r="AY102" s="55"/>
      <c r="AZ102" s="56"/>
      <c r="BA102" s="65">
        <f t="shared" si="3"/>
        <v>0</v>
      </c>
      <c r="BB102" s="73"/>
      <c r="BC102" s="74"/>
      <c r="BD102" s="65"/>
      <c r="BE102" s="94"/>
      <c r="BF102" s="73"/>
      <c r="BG102" s="74"/>
      <c r="BH102" s="65"/>
      <c r="BI102" s="94"/>
      <c r="BJ102" s="73"/>
      <c r="BK102" s="74"/>
      <c r="BL102" s="65"/>
      <c r="BM102" s="94"/>
      <c r="BN102" s="65">
        <f t="shared" si="4"/>
        <v>0</v>
      </c>
      <c r="BO102" s="65" t="b">
        <f t="shared" si="5"/>
        <v>1</v>
      </c>
      <c r="BP102" s="70" t="s">
        <v>708</v>
      </c>
      <c r="BQ102" s="69" t="s">
        <v>1172</v>
      </c>
      <c r="BR102" s="55">
        <v>20</v>
      </c>
      <c r="BS102" s="57">
        <v>9.8000000000000007</v>
      </c>
      <c r="BT102" s="98">
        <v>196</v>
      </c>
      <c r="BU102" s="70" t="s">
        <v>3134</v>
      </c>
      <c r="BV102" s="69" t="s">
        <v>3135</v>
      </c>
      <c r="BW102" s="57">
        <v>0.01</v>
      </c>
      <c r="BX102" s="55"/>
      <c r="BY102" s="55">
        <v>1</v>
      </c>
      <c r="BZ102" s="58">
        <v>0.01</v>
      </c>
      <c r="CA102" s="70"/>
      <c r="CB102" s="69"/>
      <c r="CC102" s="55"/>
      <c r="CD102" s="55"/>
      <c r="CE102" s="55"/>
      <c r="CF102" s="56"/>
      <c r="CG102" s="3"/>
      <c r="CH102" s="5">
        <v>39.200000000000003</v>
      </c>
      <c r="CI102" s="3"/>
      <c r="CJ102" s="3"/>
      <c r="CK102" s="3"/>
      <c r="CL102" s="3"/>
      <c r="CM102" s="3"/>
      <c r="CN102" s="3"/>
      <c r="CO102" s="3"/>
      <c r="CP102" s="3"/>
    </row>
    <row r="103" spans="1:94">
      <c r="A103" s="3">
        <v>66267</v>
      </c>
      <c r="B103" s="4" t="s">
        <v>1514</v>
      </c>
      <c r="C103" s="4" t="s">
        <v>1322</v>
      </c>
      <c r="D103" s="4" t="s">
        <v>306</v>
      </c>
      <c r="E103" s="4" t="s">
        <v>307</v>
      </c>
      <c r="F103" s="4" t="s">
        <v>1379</v>
      </c>
      <c r="G103" s="4" t="s">
        <v>1380</v>
      </c>
      <c r="H103" s="4" t="s">
        <v>1381</v>
      </c>
      <c r="I103" s="4" t="s">
        <v>188</v>
      </c>
      <c r="J103" s="4" t="s">
        <v>1362</v>
      </c>
      <c r="K103" s="3">
        <v>57</v>
      </c>
      <c r="L103" s="4" t="s">
        <v>0</v>
      </c>
      <c r="M103" s="4" t="s">
        <v>118</v>
      </c>
      <c r="N103" s="5">
        <v>2289.7600000000002</v>
      </c>
      <c r="O103" s="6">
        <v>41396</v>
      </c>
      <c r="P103" s="3"/>
      <c r="Q103" s="4" t="s">
        <v>2081</v>
      </c>
      <c r="R103" s="54">
        <v>4</v>
      </c>
      <c r="S103" s="69" t="s">
        <v>3060</v>
      </c>
      <c r="T103" s="55"/>
      <c r="U103" s="57">
        <v>2.85</v>
      </c>
      <c r="V103" s="55">
        <v>20</v>
      </c>
      <c r="W103" s="55">
        <v>40</v>
      </c>
      <c r="X103" s="58">
        <v>114</v>
      </c>
      <c r="Y103" s="54"/>
      <c r="Z103" s="69"/>
      <c r="AA103" s="55"/>
      <c r="AB103" s="55"/>
      <c r="AC103" s="55"/>
      <c r="AD103" s="55"/>
      <c r="AE103" s="56"/>
      <c r="AF103" s="54"/>
      <c r="AG103" s="69"/>
      <c r="AH103" s="55"/>
      <c r="AI103" s="55"/>
      <c r="AJ103" s="55"/>
      <c r="AK103" s="55"/>
      <c r="AL103" s="56"/>
      <c r="AM103" s="54"/>
      <c r="AN103" s="69"/>
      <c r="AO103" s="55"/>
      <c r="AP103" s="55"/>
      <c r="AQ103" s="55"/>
      <c r="AR103" s="55"/>
      <c r="AS103" s="56"/>
      <c r="AT103" s="54"/>
      <c r="AU103" s="69"/>
      <c r="AV103" s="55"/>
      <c r="AW103" s="55"/>
      <c r="AX103" s="55"/>
      <c r="AY103" s="55"/>
      <c r="AZ103" s="56"/>
      <c r="BA103" s="65">
        <f t="shared" si="3"/>
        <v>114</v>
      </c>
      <c r="BB103" s="73">
        <f>VLOOKUP($C103,'REL. VT'!$C:Y,23,0)</f>
        <v>20</v>
      </c>
      <c r="BC103" s="74">
        <f>VLOOKUP($C103,'REL. VT'!$C:Z,24,0)</f>
        <v>2</v>
      </c>
      <c r="BD103" s="65">
        <f>VLOOKUP($C103,'REL. VT'!$C:AA,25,0)</f>
        <v>2.85</v>
      </c>
      <c r="BE103" s="97">
        <f>BB103*BC103*BD103</f>
        <v>114</v>
      </c>
      <c r="BF103" s="73"/>
      <c r="BG103" s="74"/>
      <c r="BH103" s="65"/>
      <c r="BI103" s="94"/>
      <c r="BJ103" s="73"/>
      <c r="BK103" s="74"/>
      <c r="BL103" s="65"/>
      <c r="BM103" s="94"/>
      <c r="BN103" s="65">
        <f t="shared" si="4"/>
        <v>114</v>
      </c>
      <c r="BO103" s="65" t="b">
        <f t="shared" si="5"/>
        <v>1</v>
      </c>
      <c r="BP103" s="70" t="s">
        <v>708</v>
      </c>
      <c r="BQ103" s="69" t="s">
        <v>1172</v>
      </c>
      <c r="BR103" s="55">
        <v>0</v>
      </c>
      <c r="BS103" s="57">
        <v>9.8000000000000007</v>
      </c>
      <c r="BT103" s="98">
        <v>0</v>
      </c>
      <c r="BU103" s="70" t="s">
        <v>3134</v>
      </c>
      <c r="BV103" s="69" t="s">
        <v>3135</v>
      </c>
      <c r="BW103" s="57">
        <v>0.01</v>
      </c>
      <c r="BX103" s="55"/>
      <c r="BY103" s="55">
        <v>1</v>
      </c>
      <c r="BZ103" s="58">
        <v>0.01</v>
      </c>
      <c r="CA103" s="70"/>
      <c r="CB103" s="69"/>
      <c r="CC103" s="55"/>
      <c r="CD103" s="55"/>
      <c r="CE103" s="55"/>
      <c r="CF103" s="56"/>
      <c r="CG103" s="3"/>
      <c r="CH103" s="3"/>
      <c r="CI103" s="3"/>
      <c r="CJ103" s="3"/>
      <c r="CK103" s="3"/>
      <c r="CL103" s="3"/>
      <c r="CM103" s="3"/>
      <c r="CN103" s="3"/>
      <c r="CO103" s="3"/>
      <c r="CP103" s="3"/>
    </row>
    <row r="104" spans="1:94">
      <c r="A104" s="3">
        <v>56041</v>
      </c>
      <c r="B104" s="4" t="s">
        <v>1515</v>
      </c>
      <c r="C104" s="4" t="s">
        <v>50</v>
      </c>
      <c r="D104" s="4" t="s">
        <v>306</v>
      </c>
      <c r="E104" s="4" t="s">
        <v>307</v>
      </c>
      <c r="F104" s="4" t="s">
        <v>1379</v>
      </c>
      <c r="G104" s="4" t="s">
        <v>1380</v>
      </c>
      <c r="H104" s="4" t="s">
        <v>1381</v>
      </c>
      <c r="I104" s="4" t="s">
        <v>188</v>
      </c>
      <c r="J104" s="4" t="s">
        <v>1362</v>
      </c>
      <c r="K104" s="3">
        <v>57</v>
      </c>
      <c r="L104" s="4" t="s">
        <v>0</v>
      </c>
      <c r="M104" s="4" t="s">
        <v>118</v>
      </c>
      <c r="N104" s="5">
        <v>2289.7600000000002</v>
      </c>
      <c r="O104" s="6">
        <v>40852</v>
      </c>
      <c r="P104" s="3"/>
      <c r="Q104" s="4" t="s">
        <v>2072</v>
      </c>
      <c r="R104" s="54"/>
      <c r="S104" s="69"/>
      <c r="T104" s="55"/>
      <c r="U104" s="55"/>
      <c r="V104" s="55"/>
      <c r="W104" s="55"/>
      <c r="X104" s="56"/>
      <c r="Y104" s="54"/>
      <c r="Z104" s="69"/>
      <c r="AA104" s="55"/>
      <c r="AB104" s="55"/>
      <c r="AC104" s="55"/>
      <c r="AD104" s="55"/>
      <c r="AE104" s="56"/>
      <c r="AF104" s="54"/>
      <c r="AG104" s="69"/>
      <c r="AH104" s="55"/>
      <c r="AI104" s="55"/>
      <c r="AJ104" s="55"/>
      <c r="AK104" s="55"/>
      <c r="AL104" s="56"/>
      <c r="AM104" s="54"/>
      <c r="AN104" s="69"/>
      <c r="AO104" s="55"/>
      <c r="AP104" s="55"/>
      <c r="AQ104" s="55"/>
      <c r="AR104" s="55"/>
      <c r="AS104" s="56"/>
      <c r="AT104" s="54"/>
      <c r="AU104" s="69"/>
      <c r="AV104" s="55"/>
      <c r="AW104" s="55"/>
      <c r="AX104" s="55"/>
      <c r="AY104" s="55"/>
      <c r="AZ104" s="56"/>
      <c r="BA104" s="65">
        <f t="shared" si="3"/>
        <v>0</v>
      </c>
      <c r="BB104" s="73"/>
      <c r="BC104" s="74"/>
      <c r="BD104" s="65"/>
      <c r="BE104" s="94"/>
      <c r="BF104" s="73"/>
      <c r="BG104" s="74"/>
      <c r="BH104" s="65"/>
      <c r="BI104" s="94"/>
      <c r="BJ104" s="73"/>
      <c r="BK104" s="74"/>
      <c r="BL104" s="65"/>
      <c r="BM104" s="94"/>
      <c r="BN104" s="65">
        <f t="shared" si="4"/>
        <v>0</v>
      </c>
      <c r="BO104" s="65" t="b">
        <f t="shared" si="5"/>
        <v>1</v>
      </c>
      <c r="BP104" s="70" t="s">
        <v>708</v>
      </c>
      <c r="BQ104" s="69" t="s">
        <v>1172</v>
      </c>
      <c r="BR104" s="55">
        <v>20</v>
      </c>
      <c r="BS104" s="57">
        <v>9.8000000000000007</v>
      </c>
      <c r="BT104" s="98">
        <v>196</v>
      </c>
      <c r="BU104" s="70" t="s">
        <v>3134</v>
      </c>
      <c r="BV104" s="69" t="s">
        <v>3135</v>
      </c>
      <c r="BW104" s="57">
        <v>0.01</v>
      </c>
      <c r="BX104" s="55"/>
      <c r="BY104" s="55">
        <v>1</v>
      </c>
      <c r="BZ104" s="58">
        <v>0.01</v>
      </c>
      <c r="CA104" s="70"/>
      <c r="CB104" s="69"/>
      <c r="CC104" s="55"/>
      <c r="CD104" s="55"/>
      <c r="CE104" s="55"/>
      <c r="CF104" s="56"/>
      <c r="CG104" s="3"/>
      <c r="CH104" s="5">
        <v>39.200000000000003</v>
      </c>
      <c r="CI104" s="3"/>
      <c r="CJ104" s="3"/>
      <c r="CK104" s="3"/>
      <c r="CL104" s="3"/>
      <c r="CM104" s="3"/>
      <c r="CN104" s="3"/>
      <c r="CO104" s="3"/>
      <c r="CP104" s="3"/>
    </row>
    <row r="105" spans="1:94">
      <c r="BA105" s="66">
        <f>SUM(BA2:BA104)</f>
        <v>4801.3599999999997</v>
      </c>
      <c r="BN105" s="66">
        <f>SUM(BN2:BN104)</f>
        <v>4801.3599999999997</v>
      </c>
      <c r="BO105" s="66" t="b">
        <f t="shared" si="5"/>
        <v>1</v>
      </c>
    </row>
  </sheetData>
  <autoFilter ref="A1:CP105"/>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8"/>
  <dimension ref="A1:BF33"/>
  <sheetViews>
    <sheetView workbookViewId="0">
      <pane xSplit="3" ySplit="1" topLeftCell="Y2" activePane="bottomRight" state="frozen"/>
      <selection pane="topRight" activeCell="D1" sqref="D1"/>
      <selection pane="bottomLeft" activeCell="A2" sqref="A2"/>
      <selection pane="bottomRight" activeCell="AM1" sqref="AM1:AP1"/>
    </sheetView>
  </sheetViews>
  <sheetFormatPr defaultRowHeight="12"/>
  <cols>
    <col min="1" max="1" width="9.42578125" style="7" bestFit="1" customWidth="1"/>
    <col min="2" max="2" width="5.85546875" style="7" bestFit="1" customWidth="1"/>
    <col min="3" max="3" width="31.42578125" style="7" customWidth="1"/>
    <col min="4" max="4" width="7.140625" style="7" bestFit="1" customWidth="1"/>
    <col min="5" max="5" width="9.28515625" style="7" bestFit="1" customWidth="1"/>
    <col min="6" max="6" width="2.28515625" style="7" customWidth="1"/>
    <col min="7" max="7" width="6.7109375" style="7" customWidth="1"/>
    <col min="8" max="8" width="13.7109375" style="7" customWidth="1"/>
    <col min="9" max="9" width="2.5703125" style="7" customWidth="1"/>
    <col min="10" max="10" width="9.28515625" style="7" customWidth="1"/>
    <col min="11" max="11" width="9.140625" style="7" customWidth="1"/>
    <col min="12" max="12" width="2" style="7" customWidth="1"/>
    <col min="13" max="13" width="9.5703125" style="7" customWidth="1"/>
    <col min="14" max="23" width="4.5703125" style="7" customWidth="1"/>
    <col min="24" max="24" width="6.28515625" style="7" bestFit="1" customWidth="1"/>
    <col min="25" max="25" width="5.7109375" style="59" customWidth="1"/>
    <col min="26" max="26" width="5.7109375" style="68" customWidth="1"/>
    <col min="27" max="27" width="7.85546875" style="60" customWidth="1"/>
    <col min="28" max="28" width="7.85546875" style="66" customWidth="1"/>
    <col min="29" max="29" width="5.7109375" style="60" customWidth="1"/>
    <col min="30" max="30" width="7.85546875" style="61" customWidth="1"/>
    <col min="31" max="31" width="3.7109375" style="63" customWidth="1"/>
    <col min="32" max="32" width="5.7109375" style="59" customWidth="1"/>
    <col min="33" max="33" width="5.7109375" style="68" customWidth="1"/>
    <col min="34" max="34" width="8.42578125" style="60" customWidth="1"/>
    <col min="35" max="35" width="7.85546875" style="66" customWidth="1"/>
    <col min="36" max="36" width="5.7109375" style="60" customWidth="1"/>
    <col min="37" max="37" width="8.42578125" style="61" customWidth="1"/>
    <col min="38" max="38" width="3.7109375" style="63" customWidth="1"/>
    <col min="39" max="39" width="6" style="59" customWidth="1"/>
    <col min="40" max="40" width="6" style="68" customWidth="1"/>
    <col min="41" max="41" width="8.140625" style="60" customWidth="1"/>
    <col min="42" max="42" width="7.85546875" style="66" customWidth="1"/>
    <col min="43" max="43" width="6" style="60" customWidth="1"/>
    <col min="44" max="44" width="8.140625" style="61" customWidth="1"/>
    <col min="45" max="45" width="7.85546875" style="66" customWidth="1"/>
    <col min="46" max="46" width="10.42578125" style="7" customWidth="1"/>
    <col min="47" max="47" width="10.7109375" style="68" bestFit="1" customWidth="1"/>
    <col min="48" max="56" width="2.140625" style="7" customWidth="1"/>
    <col min="57" max="58" width="8.140625" style="7" customWidth="1"/>
    <col min="59" max="16384" width="9.140625" style="7"/>
  </cols>
  <sheetData>
    <row r="1" spans="1:58" s="2" customFormat="1">
      <c r="A1" s="1" t="s">
        <v>2366</v>
      </c>
      <c r="B1" s="1" t="s">
        <v>101</v>
      </c>
      <c r="C1" s="1" t="s">
        <v>2367</v>
      </c>
      <c r="D1" s="1" t="s">
        <v>2368</v>
      </c>
      <c r="E1" s="1" t="s">
        <v>2369</v>
      </c>
      <c r="F1" s="1" t="s">
        <v>2370</v>
      </c>
      <c r="G1" s="1" t="s">
        <v>2371</v>
      </c>
      <c r="H1" s="1" t="s">
        <v>2372</v>
      </c>
      <c r="I1" s="1" t="s">
        <v>2373</v>
      </c>
      <c r="J1" s="1" t="s">
        <v>2374</v>
      </c>
      <c r="K1" s="1" t="s">
        <v>2375</v>
      </c>
      <c r="L1" s="1" t="s">
        <v>2376</v>
      </c>
      <c r="M1" s="1" t="s">
        <v>108</v>
      </c>
      <c r="N1" s="1" t="s">
        <v>2377</v>
      </c>
      <c r="O1" s="1" t="s">
        <v>2378</v>
      </c>
      <c r="P1" s="1" t="s">
        <v>2379</v>
      </c>
      <c r="Q1" s="1" t="s">
        <v>2380</v>
      </c>
      <c r="R1" s="1" t="s">
        <v>2381</v>
      </c>
      <c r="S1" s="1" t="s">
        <v>2382</v>
      </c>
      <c r="T1" s="1" t="s">
        <v>2383</v>
      </c>
      <c r="U1" s="1" t="s">
        <v>2384</v>
      </c>
      <c r="V1" s="1" t="s">
        <v>2385</v>
      </c>
      <c r="W1" s="1" t="s">
        <v>2386</v>
      </c>
      <c r="X1" s="1" t="s">
        <v>2387</v>
      </c>
      <c r="Y1" s="51" t="s">
        <v>2388</v>
      </c>
      <c r="Z1" s="67"/>
      <c r="AA1" s="52" t="s">
        <v>2389</v>
      </c>
      <c r="AB1" s="64"/>
      <c r="AC1" s="52" t="s">
        <v>2390</v>
      </c>
      <c r="AD1" s="53" t="s">
        <v>2391</v>
      </c>
      <c r="AE1" s="62" t="s">
        <v>2392</v>
      </c>
      <c r="AF1" s="51" t="s">
        <v>2393</v>
      </c>
      <c r="AG1" s="67"/>
      <c r="AH1" s="52" t="s">
        <v>2394</v>
      </c>
      <c r="AI1" s="64"/>
      <c r="AJ1" s="52" t="s">
        <v>2395</v>
      </c>
      <c r="AK1" s="53" t="s">
        <v>2396</v>
      </c>
      <c r="AL1" s="62" t="s">
        <v>2397</v>
      </c>
      <c r="AM1" s="51" t="s">
        <v>2398</v>
      </c>
      <c r="AN1" s="67"/>
      <c r="AO1" s="52" t="s">
        <v>2399</v>
      </c>
      <c r="AP1" s="64"/>
      <c r="AQ1" s="52" t="s">
        <v>2400</v>
      </c>
      <c r="AR1" s="53" t="s">
        <v>2401</v>
      </c>
      <c r="AS1" s="64"/>
      <c r="AT1" s="1" t="s">
        <v>2402</v>
      </c>
      <c r="AU1" s="67"/>
      <c r="AV1" s="1" t="s">
        <v>2300</v>
      </c>
      <c r="AW1" s="1" t="s">
        <v>2301</v>
      </c>
      <c r="AX1" s="1" t="s">
        <v>2302</v>
      </c>
      <c r="AY1" s="1" t="s">
        <v>2303</v>
      </c>
      <c r="AZ1" s="1" t="s">
        <v>2304</v>
      </c>
      <c r="BA1" s="1" t="s">
        <v>2305</v>
      </c>
      <c r="BB1" s="1" t="s">
        <v>2306</v>
      </c>
      <c r="BC1" s="1" t="s">
        <v>2307</v>
      </c>
      <c r="BD1" s="1" t="s">
        <v>2308</v>
      </c>
      <c r="BE1" s="1" t="s">
        <v>2403</v>
      </c>
      <c r="BF1" s="1" t="s">
        <v>2404</v>
      </c>
    </row>
    <row r="2" spans="1:58">
      <c r="A2" s="3">
        <v>67991</v>
      </c>
      <c r="B2" s="4" t="s">
        <v>2205</v>
      </c>
      <c r="C2" s="4" t="s">
        <v>2206</v>
      </c>
      <c r="D2" s="3">
        <v>220</v>
      </c>
      <c r="E2" s="5">
        <v>2289.7600000000002</v>
      </c>
      <c r="F2" s="4" t="s">
        <v>3076</v>
      </c>
      <c r="G2" s="4" t="s">
        <v>3077</v>
      </c>
      <c r="H2" s="4" t="s">
        <v>2073</v>
      </c>
      <c r="I2" s="4" t="s">
        <v>3076</v>
      </c>
      <c r="J2" s="4" t="s">
        <v>3121</v>
      </c>
      <c r="K2" s="4" t="s">
        <v>2405</v>
      </c>
      <c r="L2" s="4" t="s">
        <v>2072</v>
      </c>
      <c r="M2" s="4" t="s">
        <v>0</v>
      </c>
      <c r="N2" s="4" t="s">
        <v>2869</v>
      </c>
      <c r="O2" s="4"/>
      <c r="P2" s="4"/>
      <c r="Q2" s="4"/>
      <c r="R2" s="4"/>
      <c r="S2" s="4"/>
      <c r="T2" s="4"/>
      <c r="U2" s="4"/>
      <c r="V2" s="4" t="s">
        <v>3118</v>
      </c>
      <c r="W2" s="4" t="s">
        <v>3119</v>
      </c>
      <c r="X2" s="3">
        <v>1</v>
      </c>
      <c r="Y2" s="54"/>
      <c r="Z2" s="82"/>
      <c r="AA2" s="55"/>
      <c r="AB2" s="81">
        <f>Y2*Z2*AA2</f>
        <v>0</v>
      </c>
      <c r="AC2" s="55"/>
      <c r="AD2" s="56"/>
      <c r="AE2" s="50"/>
      <c r="AF2" s="54">
        <v>15</v>
      </c>
      <c r="AG2" s="82">
        <f>AJ2/AF2</f>
        <v>2</v>
      </c>
      <c r="AH2" s="57">
        <v>3.5</v>
      </c>
      <c r="AI2" s="81">
        <f>AF2*AG2*AH2</f>
        <v>105</v>
      </c>
      <c r="AJ2" s="55">
        <v>30</v>
      </c>
      <c r="AK2" s="58">
        <v>105</v>
      </c>
      <c r="AL2" s="50">
        <v>7</v>
      </c>
      <c r="AM2" s="54"/>
      <c r="AN2" s="82"/>
      <c r="AO2" s="55"/>
      <c r="AP2" s="81">
        <f>AM2*AN2*AO2</f>
        <v>0</v>
      </c>
      <c r="AQ2" s="55"/>
      <c r="AR2" s="56"/>
      <c r="AS2" s="81">
        <f>AP2+AI2+AB2</f>
        <v>105</v>
      </c>
      <c r="AT2" s="5">
        <v>105</v>
      </c>
      <c r="AU2" s="82" t="b">
        <f>AS2=AT2</f>
        <v>1</v>
      </c>
      <c r="AV2" s="3"/>
      <c r="AW2" s="3"/>
      <c r="AX2" s="3"/>
      <c r="AY2" s="3"/>
      <c r="AZ2" s="3"/>
      <c r="BA2" s="3"/>
      <c r="BB2" s="3"/>
      <c r="BC2" s="3"/>
      <c r="BD2" s="3"/>
      <c r="BE2" s="5">
        <v>137.38999999999999</v>
      </c>
      <c r="BF2" s="5">
        <v>0</v>
      </c>
    </row>
    <row r="3" spans="1:58">
      <c r="A3" s="3">
        <v>66265</v>
      </c>
      <c r="B3" s="4" t="s">
        <v>1414</v>
      </c>
      <c r="C3" s="4" t="s">
        <v>1307</v>
      </c>
      <c r="D3" s="3">
        <v>220</v>
      </c>
      <c r="E3" s="5">
        <v>2289.7600000000002</v>
      </c>
      <c r="F3" s="4" t="s">
        <v>306</v>
      </c>
      <c r="G3" s="4" t="s">
        <v>307</v>
      </c>
      <c r="H3" s="4" t="s">
        <v>2073</v>
      </c>
      <c r="I3" s="4" t="s">
        <v>306</v>
      </c>
      <c r="J3" s="4" t="s">
        <v>2422</v>
      </c>
      <c r="K3" s="4" t="s">
        <v>2405</v>
      </c>
      <c r="L3" s="4" t="s">
        <v>2072</v>
      </c>
      <c r="M3" s="4" t="s">
        <v>0</v>
      </c>
      <c r="N3" s="4" t="s">
        <v>2422</v>
      </c>
      <c r="O3" s="4"/>
      <c r="P3" s="4"/>
      <c r="Q3" s="4"/>
      <c r="R3" s="4"/>
      <c r="S3" s="4"/>
      <c r="T3" s="4"/>
      <c r="U3" s="4"/>
      <c r="V3" s="4" t="s">
        <v>3118</v>
      </c>
      <c r="W3" s="4" t="s">
        <v>3119</v>
      </c>
      <c r="X3" s="3">
        <v>1</v>
      </c>
      <c r="Y3" s="54">
        <v>19</v>
      </c>
      <c r="Z3" s="82">
        <f t="shared" ref="Z3:Z33" si="0">AC3/Y3</f>
        <v>2</v>
      </c>
      <c r="AA3" s="57">
        <v>2.85</v>
      </c>
      <c r="AB3" s="81">
        <f t="shared" ref="AB3:AB33" si="1">Y3*Z3*AA3</f>
        <v>108.3</v>
      </c>
      <c r="AC3" s="55">
        <v>38</v>
      </c>
      <c r="AD3" s="58">
        <v>108.3</v>
      </c>
      <c r="AE3" s="50">
        <v>6</v>
      </c>
      <c r="AF3" s="54">
        <v>20</v>
      </c>
      <c r="AG3" s="82">
        <f t="shared" ref="AG3:AG32" si="2">AJ3/AF3</f>
        <v>2</v>
      </c>
      <c r="AH3" s="57">
        <v>4.3499999999999996</v>
      </c>
      <c r="AI3" s="81">
        <f t="shared" ref="AI3:AI33" si="3">AF3*AG3*AH3</f>
        <v>174</v>
      </c>
      <c r="AJ3" s="55">
        <v>40</v>
      </c>
      <c r="AK3" s="58">
        <v>174</v>
      </c>
      <c r="AL3" s="50"/>
      <c r="AM3" s="54"/>
      <c r="AN3" s="82"/>
      <c r="AO3" s="55"/>
      <c r="AP3" s="81">
        <f t="shared" ref="AP3:AP33" si="4">AM3*AN3*AO3</f>
        <v>0</v>
      </c>
      <c r="AQ3" s="55"/>
      <c r="AR3" s="56"/>
      <c r="AS3" s="81">
        <f t="shared" ref="AS3:AS33" si="5">AP3+AI3+AB3</f>
        <v>282.3</v>
      </c>
      <c r="AT3" s="5">
        <v>282.3</v>
      </c>
      <c r="AU3" s="82" t="b">
        <f t="shared" ref="AU3:AU33" si="6">AS3=AT3</f>
        <v>1</v>
      </c>
      <c r="AV3" s="3"/>
      <c r="AW3" s="3"/>
      <c r="AX3" s="3"/>
      <c r="AY3" s="3"/>
      <c r="AZ3" s="3"/>
      <c r="BA3" s="3"/>
      <c r="BB3" s="3"/>
      <c r="BC3" s="3"/>
      <c r="BD3" s="3"/>
      <c r="BE3" s="5">
        <v>137.38999999999999</v>
      </c>
      <c r="BF3" s="5">
        <v>144.91</v>
      </c>
    </row>
    <row r="4" spans="1:58">
      <c r="A4" s="3">
        <v>72392</v>
      </c>
      <c r="B4" s="4" t="s">
        <v>3031</v>
      </c>
      <c r="C4" s="4" t="s">
        <v>3032</v>
      </c>
      <c r="D4" s="3">
        <v>220</v>
      </c>
      <c r="E4" s="5">
        <v>2289.7600000000002</v>
      </c>
      <c r="F4" s="4" t="s">
        <v>306</v>
      </c>
      <c r="G4" s="4" t="s">
        <v>307</v>
      </c>
      <c r="H4" s="4" t="s">
        <v>2073</v>
      </c>
      <c r="I4" s="4" t="s">
        <v>306</v>
      </c>
      <c r="J4" s="4" t="s">
        <v>3042</v>
      </c>
      <c r="K4" s="4" t="s">
        <v>2405</v>
      </c>
      <c r="L4" s="4" t="s">
        <v>2072</v>
      </c>
      <c r="M4" s="4" t="s">
        <v>0</v>
      </c>
      <c r="N4" s="4" t="s">
        <v>3042</v>
      </c>
      <c r="O4" s="4"/>
      <c r="P4" s="4"/>
      <c r="Q4" s="4"/>
      <c r="R4" s="4"/>
      <c r="S4" s="4"/>
      <c r="T4" s="4"/>
      <c r="U4" s="4"/>
      <c r="V4" s="4" t="s">
        <v>3118</v>
      </c>
      <c r="W4" s="4" t="s">
        <v>3119</v>
      </c>
      <c r="X4" s="3">
        <v>1</v>
      </c>
      <c r="Y4" s="54">
        <v>13</v>
      </c>
      <c r="Z4" s="82">
        <f t="shared" si="0"/>
        <v>2</v>
      </c>
      <c r="AA4" s="57">
        <v>4.28</v>
      </c>
      <c r="AB4" s="81">
        <f t="shared" si="1"/>
        <v>111.28</v>
      </c>
      <c r="AC4" s="55">
        <v>26</v>
      </c>
      <c r="AD4" s="58">
        <v>111.28</v>
      </c>
      <c r="AE4" s="50">
        <v>2</v>
      </c>
      <c r="AF4" s="54"/>
      <c r="AG4" s="82"/>
      <c r="AH4" s="55"/>
      <c r="AI4" s="81">
        <f t="shared" si="3"/>
        <v>0</v>
      </c>
      <c r="AJ4" s="55"/>
      <c r="AK4" s="56"/>
      <c r="AL4" s="50"/>
      <c r="AM4" s="54"/>
      <c r="AN4" s="82"/>
      <c r="AO4" s="55"/>
      <c r="AP4" s="81">
        <f t="shared" si="4"/>
        <v>0</v>
      </c>
      <c r="AQ4" s="55"/>
      <c r="AR4" s="56"/>
      <c r="AS4" s="81">
        <f t="shared" si="5"/>
        <v>111.28</v>
      </c>
      <c r="AT4" s="5">
        <v>111.28</v>
      </c>
      <c r="AU4" s="82" t="b">
        <f t="shared" si="6"/>
        <v>1</v>
      </c>
      <c r="AV4" s="3"/>
      <c r="AW4" s="3"/>
      <c r="AX4" s="3"/>
      <c r="AY4" s="3"/>
      <c r="AZ4" s="3"/>
      <c r="BA4" s="3"/>
      <c r="BB4" s="3"/>
      <c r="BC4" s="3"/>
      <c r="BD4" s="3"/>
      <c r="BE4" s="5">
        <v>137.38999999999999</v>
      </c>
      <c r="BF4" s="5">
        <v>0</v>
      </c>
    </row>
    <row r="5" spans="1:58">
      <c r="A5" s="3">
        <v>56030</v>
      </c>
      <c r="B5" s="4" t="s">
        <v>1416</v>
      </c>
      <c r="C5" s="4" t="s">
        <v>10</v>
      </c>
      <c r="D5" s="3">
        <v>220</v>
      </c>
      <c r="E5" s="5">
        <v>2289.7600000000002</v>
      </c>
      <c r="F5" s="4" t="s">
        <v>306</v>
      </c>
      <c r="G5" s="4" t="s">
        <v>307</v>
      </c>
      <c r="H5" s="4" t="s">
        <v>2073</v>
      </c>
      <c r="I5" s="4" t="s">
        <v>306</v>
      </c>
      <c r="J5" s="4" t="s">
        <v>2413</v>
      </c>
      <c r="K5" s="4" t="s">
        <v>2405</v>
      </c>
      <c r="L5" s="4" t="s">
        <v>2072</v>
      </c>
      <c r="M5" s="4" t="s">
        <v>0</v>
      </c>
      <c r="N5" s="4" t="s">
        <v>2413</v>
      </c>
      <c r="O5" s="4"/>
      <c r="P5" s="4"/>
      <c r="Q5" s="4"/>
      <c r="R5" s="4"/>
      <c r="S5" s="4"/>
      <c r="T5" s="4"/>
      <c r="U5" s="4"/>
      <c r="V5" s="4" t="s">
        <v>3118</v>
      </c>
      <c r="W5" s="4" t="s">
        <v>3119</v>
      </c>
      <c r="X5" s="3">
        <v>1</v>
      </c>
      <c r="Y5" s="54">
        <v>8</v>
      </c>
      <c r="Z5" s="82">
        <f t="shared" si="0"/>
        <v>2</v>
      </c>
      <c r="AA5" s="57">
        <v>2.85</v>
      </c>
      <c r="AB5" s="81">
        <f t="shared" si="1"/>
        <v>45.6</v>
      </c>
      <c r="AC5" s="55">
        <v>16</v>
      </c>
      <c r="AD5" s="58">
        <v>45.6</v>
      </c>
      <c r="AE5" s="50">
        <v>7</v>
      </c>
      <c r="AF5" s="54">
        <v>12</v>
      </c>
      <c r="AG5" s="82">
        <f t="shared" si="2"/>
        <v>2</v>
      </c>
      <c r="AH5" s="57">
        <v>3.7</v>
      </c>
      <c r="AI5" s="81">
        <f t="shared" si="3"/>
        <v>88.800000000000011</v>
      </c>
      <c r="AJ5" s="55">
        <v>24</v>
      </c>
      <c r="AK5" s="58">
        <v>88.8</v>
      </c>
      <c r="AL5" s="50"/>
      <c r="AM5" s="54"/>
      <c r="AN5" s="82"/>
      <c r="AO5" s="55"/>
      <c r="AP5" s="81">
        <f t="shared" si="4"/>
        <v>0</v>
      </c>
      <c r="AQ5" s="55"/>
      <c r="AR5" s="56"/>
      <c r="AS5" s="81">
        <f t="shared" si="5"/>
        <v>134.4</v>
      </c>
      <c r="AT5" s="5">
        <v>134.4</v>
      </c>
      <c r="AU5" s="82" t="b">
        <f t="shared" si="6"/>
        <v>1</v>
      </c>
      <c r="AV5" s="3"/>
      <c r="AW5" s="3"/>
      <c r="AX5" s="3"/>
      <c r="AY5" s="3"/>
      <c r="AZ5" s="3"/>
      <c r="BA5" s="3"/>
      <c r="BB5" s="3"/>
      <c r="BC5" s="3"/>
      <c r="BD5" s="3"/>
      <c r="BE5" s="5">
        <v>137.38999999999999</v>
      </c>
      <c r="BF5" s="5">
        <v>0</v>
      </c>
    </row>
    <row r="6" spans="1:58">
      <c r="A6" s="3">
        <v>56007</v>
      </c>
      <c r="B6" s="4" t="s">
        <v>1418</v>
      </c>
      <c r="C6" s="4" t="s">
        <v>12</v>
      </c>
      <c r="D6" s="3">
        <v>220</v>
      </c>
      <c r="E6" s="5">
        <v>2289.7600000000002</v>
      </c>
      <c r="F6" s="4" t="s">
        <v>306</v>
      </c>
      <c r="G6" s="4" t="s">
        <v>307</v>
      </c>
      <c r="H6" s="4" t="s">
        <v>2073</v>
      </c>
      <c r="I6" s="4" t="s">
        <v>306</v>
      </c>
      <c r="J6" s="4" t="s">
        <v>2413</v>
      </c>
      <c r="K6" s="4" t="s">
        <v>2405</v>
      </c>
      <c r="L6" s="4" t="s">
        <v>2072</v>
      </c>
      <c r="M6" s="4" t="s">
        <v>0</v>
      </c>
      <c r="N6" s="4" t="s">
        <v>2413</v>
      </c>
      <c r="O6" s="4"/>
      <c r="P6" s="4"/>
      <c r="Q6" s="4"/>
      <c r="R6" s="4"/>
      <c r="S6" s="4"/>
      <c r="T6" s="4"/>
      <c r="U6" s="4"/>
      <c r="V6" s="4" t="s">
        <v>3118</v>
      </c>
      <c r="W6" s="4" t="s">
        <v>3119</v>
      </c>
      <c r="X6" s="3">
        <v>1</v>
      </c>
      <c r="Y6" s="54">
        <v>20</v>
      </c>
      <c r="Z6" s="82">
        <f t="shared" si="0"/>
        <v>2</v>
      </c>
      <c r="AA6" s="57">
        <v>2.85</v>
      </c>
      <c r="AB6" s="81">
        <f t="shared" si="1"/>
        <v>114</v>
      </c>
      <c r="AC6" s="55">
        <v>40</v>
      </c>
      <c r="AD6" s="58">
        <v>114</v>
      </c>
      <c r="AE6" s="50">
        <v>3</v>
      </c>
      <c r="AF6" s="54">
        <v>4</v>
      </c>
      <c r="AG6" s="82">
        <f t="shared" si="2"/>
        <v>2</v>
      </c>
      <c r="AH6" s="57">
        <v>3.25</v>
      </c>
      <c r="AI6" s="81">
        <f t="shared" si="3"/>
        <v>26</v>
      </c>
      <c r="AJ6" s="55">
        <v>8</v>
      </c>
      <c r="AK6" s="58">
        <v>26</v>
      </c>
      <c r="AL6" s="50">
        <v>10</v>
      </c>
      <c r="AM6" s="54"/>
      <c r="AN6" s="82"/>
      <c r="AO6" s="55"/>
      <c r="AP6" s="81">
        <f t="shared" si="4"/>
        <v>0</v>
      </c>
      <c r="AQ6" s="55"/>
      <c r="AR6" s="56"/>
      <c r="AS6" s="81">
        <f t="shared" si="5"/>
        <v>140</v>
      </c>
      <c r="AT6" s="5">
        <v>140</v>
      </c>
      <c r="AU6" s="82" t="b">
        <f t="shared" si="6"/>
        <v>1</v>
      </c>
      <c r="AV6" s="3"/>
      <c r="AW6" s="3"/>
      <c r="AX6" s="3"/>
      <c r="AY6" s="3"/>
      <c r="AZ6" s="3"/>
      <c r="BA6" s="3"/>
      <c r="BB6" s="3"/>
      <c r="BC6" s="3"/>
      <c r="BD6" s="3"/>
      <c r="BE6" s="5">
        <v>137.38999999999999</v>
      </c>
      <c r="BF6" s="5">
        <v>2.61</v>
      </c>
    </row>
    <row r="7" spans="1:58">
      <c r="A7" s="3">
        <v>56048</v>
      </c>
      <c r="B7" s="4" t="s">
        <v>1419</v>
      </c>
      <c r="C7" s="4" t="s">
        <v>554</v>
      </c>
      <c r="D7" s="3">
        <v>220</v>
      </c>
      <c r="E7" s="5">
        <v>2110.38</v>
      </c>
      <c r="F7" s="4" t="s">
        <v>459</v>
      </c>
      <c r="G7" s="4" t="s">
        <v>460</v>
      </c>
      <c r="H7" s="4" t="s">
        <v>2077</v>
      </c>
      <c r="I7" s="4" t="s">
        <v>459</v>
      </c>
      <c r="J7" s="4" t="s">
        <v>2437</v>
      </c>
      <c r="K7" s="4" t="s">
        <v>2405</v>
      </c>
      <c r="L7" s="4" t="s">
        <v>2072</v>
      </c>
      <c r="M7" s="4" t="s">
        <v>0</v>
      </c>
      <c r="N7" s="4" t="s">
        <v>2413</v>
      </c>
      <c r="O7" s="4"/>
      <c r="P7" s="4"/>
      <c r="Q7" s="4"/>
      <c r="R7" s="4"/>
      <c r="S7" s="4"/>
      <c r="T7" s="4"/>
      <c r="U7" s="4"/>
      <c r="V7" s="4" t="s">
        <v>3118</v>
      </c>
      <c r="W7" s="4" t="s">
        <v>3119</v>
      </c>
      <c r="X7" s="3">
        <v>1</v>
      </c>
      <c r="Y7" s="54">
        <v>21</v>
      </c>
      <c r="Z7" s="82">
        <f t="shared" si="0"/>
        <v>2</v>
      </c>
      <c r="AA7" s="57">
        <v>2.85</v>
      </c>
      <c r="AB7" s="81">
        <f t="shared" si="1"/>
        <v>119.7</v>
      </c>
      <c r="AC7" s="55">
        <v>42</v>
      </c>
      <c r="AD7" s="58">
        <v>119.7</v>
      </c>
      <c r="AE7" s="50">
        <v>6</v>
      </c>
      <c r="AF7" s="54">
        <v>15</v>
      </c>
      <c r="AG7" s="82">
        <f t="shared" si="2"/>
        <v>2</v>
      </c>
      <c r="AH7" s="57">
        <v>6.45</v>
      </c>
      <c r="AI7" s="81">
        <f t="shared" si="3"/>
        <v>193.5</v>
      </c>
      <c r="AJ7" s="55">
        <v>30</v>
      </c>
      <c r="AK7" s="58">
        <v>193.5</v>
      </c>
      <c r="AL7" s="50">
        <v>9</v>
      </c>
      <c r="AM7" s="54"/>
      <c r="AN7" s="82"/>
      <c r="AO7" s="55"/>
      <c r="AP7" s="81">
        <f t="shared" si="4"/>
        <v>0</v>
      </c>
      <c r="AQ7" s="55"/>
      <c r="AR7" s="56"/>
      <c r="AS7" s="81">
        <f t="shared" si="5"/>
        <v>313.2</v>
      </c>
      <c r="AT7" s="5">
        <v>313.2</v>
      </c>
      <c r="AU7" s="82" t="b">
        <f t="shared" si="6"/>
        <v>1</v>
      </c>
      <c r="AV7" s="3"/>
      <c r="AW7" s="3"/>
      <c r="AX7" s="3"/>
      <c r="AY7" s="3"/>
      <c r="AZ7" s="3"/>
      <c r="BA7" s="3"/>
      <c r="BB7" s="3"/>
      <c r="BC7" s="3"/>
      <c r="BD7" s="3"/>
      <c r="BE7" s="5">
        <v>126.62</v>
      </c>
      <c r="BF7" s="5">
        <v>186.58</v>
      </c>
    </row>
    <row r="8" spans="1:58">
      <c r="A8" s="3">
        <v>65169</v>
      </c>
      <c r="B8" s="4" t="s">
        <v>1516</v>
      </c>
      <c r="C8" s="4" t="s">
        <v>1279</v>
      </c>
      <c r="D8" s="3">
        <v>220</v>
      </c>
      <c r="E8" s="5">
        <v>2110.38</v>
      </c>
      <c r="F8" s="4" t="s">
        <v>1280</v>
      </c>
      <c r="G8" s="4" t="s">
        <v>1281</v>
      </c>
      <c r="H8" s="4" t="s">
        <v>2150</v>
      </c>
      <c r="I8" s="4" t="s">
        <v>1280</v>
      </c>
      <c r="J8" s="4" t="s">
        <v>2421</v>
      </c>
      <c r="K8" s="4" t="s">
        <v>2405</v>
      </c>
      <c r="L8" s="4" t="s">
        <v>2072</v>
      </c>
      <c r="M8" s="4" t="s">
        <v>0</v>
      </c>
      <c r="N8" s="4" t="s">
        <v>2421</v>
      </c>
      <c r="O8" s="4"/>
      <c r="P8" s="4"/>
      <c r="Q8" s="4"/>
      <c r="R8" s="4"/>
      <c r="S8" s="4"/>
      <c r="T8" s="4"/>
      <c r="U8" s="4"/>
      <c r="V8" s="4" t="s">
        <v>3118</v>
      </c>
      <c r="W8" s="4" t="s">
        <v>3119</v>
      </c>
      <c r="X8" s="3">
        <v>1</v>
      </c>
      <c r="Y8" s="54"/>
      <c r="Z8" s="82"/>
      <c r="AA8" s="55"/>
      <c r="AB8" s="81">
        <f t="shared" si="1"/>
        <v>0</v>
      </c>
      <c r="AC8" s="55"/>
      <c r="AD8" s="56"/>
      <c r="AE8" s="50"/>
      <c r="AF8" s="54"/>
      <c r="AG8" s="82"/>
      <c r="AH8" s="55"/>
      <c r="AI8" s="81">
        <f t="shared" si="3"/>
        <v>0</v>
      </c>
      <c r="AJ8" s="55"/>
      <c r="AK8" s="56"/>
      <c r="AL8" s="50"/>
      <c r="AM8" s="54">
        <v>21</v>
      </c>
      <c r="AN8" s="82">
        <f>AQ8/AM8</f>
        <v>4</v>
      </c>
      <c r="AO8" s="57">
        <v>2.5</v>
      </c>
      <c r="AP8" s="81">
        <f t="shared" si="4"/>
        <v>210</v>
      </c>
      <c r="AQ8" s="55">
        <v>84</v>
      </c>
      <c r="AR8" s="58">
        <v>210</v>
      </c>
      <c r="AS8" s="81">
        <f t="shared" si="5"/>
        <v>210</v>
      </c>
      <c r="AT8" s="5">
        <v>210</v>
      </c>
      <c r="AU8" s="82" t="b">
        <f t="shared" si="6"/>
        <v>1</v>
      </c>
      <c r="AV8" s="3"/>
      <c r="AW8" s="3"/>
      <c r="AX8" s="3"/>
      <c r="AY8" s="3"/>
      <c r="AZ8" s="3"/>
      <c r="BA8" s="3"/>
      <c r="BB8" s="3"/>
      <c r="BC8" s="3"/>
      <c r="BD8" s="3"/>
      <c r="BE8" s="5">
        <v>126.62</v>
      </c>
      <c r="BF8" s="5">
        <v>83.38</v>
      </c>
    </row>
    <row r="9" spans="1:58">
      <c r="A9" s="3">
        <v>38071</v>
      </c>
      <c r="B9" s="4" t="s">
        <v>1427</v>
      </c>
      <c r="C9" s="4" t="s">
        <v>601</v>
      </c>
      <c r="D9" s="3">
        <v>220</v>
      </c>
      <c r="E9" s="5">
        <v>2289.7600000000002</v>
      </c>
      <c r="F9" s="4" t="s">
        <v>306</v>
      </c>
      <c r="G9" s="4" t="s">
        <v>307</v>
      </c>
      <c r="H9" s="4" t="s">
        <v>2073</v>
      </c>
      <c r="I9" s="4" t="s">
        <v>306</v>
      </c>
      <c r="J9" s="4" t="s">
        <v>2411</v>
      </c>
      <c r="K9" s="4" t="s">
        <v>2405</v>
      </c>
      <c r="L9" s="4" t="s">
        <v>2074</v>
      </c>
      <c r="M9" s="4" t="s">
        <v>0</v>
      </c>
      <c r="N9" s="4" t="s">
        <v>2412</v>
      </c>
      <c r="O9" s="4"/>
      <c r="P9" s="4" t="s">
        <v>3074</v>
      </c>
      <c r="Q9" s="4" t="s">
        <v>3101</v>
      </c>
      <c r="R9" s="4"/>
      <c r="S9" s="4"/>
      <c r="T9" s="4"/>
      <c r="U9" s="4"/>
      <c r="V9" s="4" t="s">
        <v>3118</v>
      </c>
      <c r="W9" s="4" t="s">
        <v>3119</v>
      </c>
      <c r="X9" s="3">
        <v>1</v>
      </c>
      <c r="Y9" s="54">
        <v>20</v>
      </c>
      <c r="Z9" s="82">
        <f t="shared" si="0"/>
        <v>2</v>
      </c>
      <c r="AA9" s="57">
        <v>2.85</v>
      </c>
      <c r="AB9" s="81">
        <f t="shared" si="1"/>
        <v>114</v>
      </c>
      <c r="AC9" s="55">
        <v>40</v>
      </c>
      <c r="AD9" s="58">
        <v>114</v>
      </c>
      <c r="AE9" s="50"/>
      <c r="AF9" s="54">
        <v>20</v>
      </c>
      <c r="AG9" s="82">
        <f t="shared" si="2"/>
        <v>2</v>
      </c>
      <c r="AH9" s="57">
        <v>3.25</v>
      </c>
      <c r="AI9" s="81">
        <f t="shared" si="3"/>
        <v>130</v>
      </c>
      <c r="AJ9" s="55">
        <v>40</v>
      </c>
      <c r="AK9" s="58">
        <v>130</v>
      </c>
      <c r="AL9" s="50"/>
      <c r="AM9" s="54"/>
      <c r="AN9" s="82"/>
      <c r="AO9" s="55"/>
      <c r="AP9" s="81">
        <f t="shared" si="4"/>
        <v>0</v>
      </c>
      <c r="AQ9" s="55"/>
      <c r="AR9" s="56"/>
      <c r="AS9" s="81">
        <f t="shared" si="5"/>
        <v>244</v>
      </c>
      <c r="AT9" s="5">
        <v>244</v>
      </c>
      <c r="AU9" s="82" t="b">
        <f t="shared" si="6"/>
        <v>1</v>
      </c>
      <c r="AV9" s="3"/>
      <c r="AW9" s="3"/>
      <c r="AX9" s="3"/>
      <c r="AY9" s="3"/>
      <c r="AZ9" s="3"/>
      <c r="BA9" s="3"/>
      <c r="BB9" s="3"/>
      <c r="BC9" s="3"/>
      <c r="BD9" s="3"/>
      <c r="BE9" s="5">
        <v>137.38999999999999</v>
      </c>
      <c r="BF9" s="5">
        <v>106.61</v>
      </c>
    </row>
    <row r="10" spans="1:58">
      <c r="A10" s="3">
        <v>19757</v>
      </c>
      <c r="B10" s="4" t="s">
        <v>517</v>
      </c>
      <c r="C10" s="4" t="s">
        <v>15</v>
      </c>
      <c r="D10" s="3">
        <v>220</v>
      </c>
      <c r="E10" s="5">
        <v>2289.7600000000002</v>
      </c>
      <c r="F10" s="4" t="s">
        <v>306</v>
      </c>
      <c r="G10" s="4" t="s">
        <v>307</v>
      </c>
      <c r="H10" s="4" t="s">
        <v>2073</v>
      </c>
      <c r="I10" s="4" t="s">
        <v>306</v>
      </c>
      <c r="J10" s="4" t="s">
        <v>3059</v>
      </c>
      <c r="K10" s="4" t="s">
        <v>2405</v>
      </c>
      <c r="L10" s="4" t="s">
        <v>2072</v>
      </c>
      <c r="M10" s="4" t="s">
        <v>0</v>
      </c>
      <c r="N10" s="4" t="s">
        <v>2408</v>
      </c>
      <c r="O10" s="4"/>
      <c r="P10" s="4"/>
      <c r="Q10" s="4"/>
      <c r="R10" s="4"/>
      <c r="S10" s="4"/>
      <c r="T10" s="4"/>
      <c r="U10" s="4"/>
      <c r="V10" s="4" t="s">
        <v>3118</v>
      </c>
      <c r="W10" s="4" t="s">
        <v>3119</v>
      </c>
      <c r="X10" s="3">
        <v>1</v>
      </c>
      <c r="Y10" s="54">
        <v>18</v>
      </c>
      <c r="Z10" s="82">
        <f t="shared" si="0"/>
        <v>1</v>
      </c>
      <c r="AA10" s="57">
        <v>7.76</v>
      </c>
      <c r="AB10" s="81">
        <f t="shared" si="1"/>
        <v>139.68</v>
      </c>
      <c r="AC10" s="55">
        <v>18</v>
      </c>
      <c r="AD10" s="58">
        <v>139.68</v>
      </c>
      <c r="AE10" s="50">
        <v>7</v>
      </c>
      <c r="AF10" s="54"/>
      <c r="AG10" s="82"/>
      <c r="AH10" s="55"/>
      <c r="AI10" s="81">
        <f t="shared" si="3"/>
        <v>0</v>
      </c>
      <c r="AJ10" s="55"/>
      <c r="AK10" s="56"/>
      <c r="AL10" s="50"/>
      <c r="AM10" s="54"/>
      <c r="AN10" s="82"/>
      <c r="AO10" s="55"/>
      <c r="AP10" s="81">
        <f t="shared" si="4"/>
        <v>0</v>
      </c>
      <c r="AQ10" s="55"/>
      <c r="AR10" s="56"/>
      <c r="AS10" s="81">
        <f t="shared" si="5"/>
        <v>139.68</v>
      </c>
      <c r="AT10" s="5">
        <v>139.68</v>
      </c>
      <c r="AU10" s="82" t="b">
        <f t="shared" si="6"/>
        <v>1</v>
      </c>
      <c r="AV10" s="3"/>
      <c r="AW10" s="3"/>
      <c r="AX10" s="3"/>
      <c r="AY10" s="3"/>
      <c r="AZ10" s="3"/>
      <c r="BA10" s="3"/>
      <c r="BB10" s="3"/>
      <c r="BC10" s="3"/>
      <c r="BD10" s="3"/>
      <c r="BE10" s="5">
        <v>137.38999999999999</v>
      </c>
      <c r="BF10" s="5">
        <v>2.29</v>
      </c>
    </row>
    <row r="11" spans="1:58">
      <c r="A11" s="3">
        <v>56176</v>
      </c>
      <c r="B11" s="4" t="s">
        <v>1437</v>
      </c>
      <c r="C11" s="4" t="s">
        <v>69</v>
      </c>
      <c r="D11" s="3">
        <v>220</v>
      </c>
      <c r="E11" s="5">
        <v>2289.7600000000002</v>
      </c>
      <c r="F11" s="4" t="s">
        <v>653</v>
      </c>
      <c r="G11" s="4" t="s">
        <v>654</v>
      </c>
      <c r="H11" s="4" t="s">
        <v>2084</v>
      </c>
      <c r="I11" s="4" t="s">
        <v>653</v>
      </c>
      <c r="J11" s="4" t="s">
        <v>2413</v>
      </c>
      <c r="K11" s="4" t="s">
        <v>2405</v>
      </c>
      <c r="L11" s="4" t="s">
        <v>2072</v>
      </c>
      <c r="M11" s="4" t="s">
        <v>0</v>
      </c>
      <c r="N11" s="4" t="s">
        <v>2413</v>
      </c>
      <c r="O11" s="4"/>
      <c r="P11" s="4"/>
      <c r="Q11" s="4"/>
      <c r="R11" s="4"/>
      <c r="S11" s="4"/>
      <c r="T11" s="4"/>
      <c r="U11" s="4"/>
      <c r="V11" s="4" t="s">
        <v>3118</v>
      </c>
      <c r="W11" s="4" t="s">
        <v>3119</v>
      </c>
      <c r="X11" s="3">
        <v>1</v>
      </c>
      <c r="Y11" s="54">
        <v>12</v>
      </c>
      <c r="Z11" s="82">
        <f t="shared" si="0"/>
        <v>2</v>
      </c>
      <c r="AA11" s="57">
        <v>4.28</v>
      </c>
      <c r="AB11" s="81">
        <f t="shared" si="1"/>
        <v>102.72</v>
      </c>
      <c r="AC11" s="55">
        <v>24</v>
      </c>
      <c r="AD11" s="58">
        <v>102.72</v>
      </c>
      <c r="AE11" s="50"/>
      <c r="AF11" s="54"/>
      <c r="AG11" s="82"/>
      <c r="AH11" s="55"/>
      <c r="AI11" s="81">
        <f t="shared" si="3"/>
        <v>0</v>
      </c>
      <c r="AJ11" s="55"/>
      <c r="AK11" s="56"/>
      <c r="AL11" s="50"/>
      <c r="AM11" s="54"/>
      <c r="AN11" s="82"/>
      <c r="AO11" s="55"/>
      <c r="AP11" s="81">
        <f t="shared" si="4"/>
        <v>0</v>
      </c>
      <c r="AQ11" s="55"/>
      <c r="AR11" s="56"/>
      <c r="AS11" s="81">
        <f t="shared" si="5"/>
        <v>102.72</v>
      </c>
      <c r="AT11" s="5">
        <v>102.72</v>
      </c>
      <c r="AU11" s="82" t="b">
        <f t="shared" si="6"/>
        <v>1</v>
      </c>
      <c r="AV11" s="3"/>
      <c r="AW11" s="3"/>
      <c r="AX11" s="3"/>
      <c r="AY11" s="3"/>
      <c r="AZ11" s="3"/>
      <c r="BA11" s="3"/>
      <c r="BB11" s="3"/>
      <c r="BC11" s="3"/>
      <c r="BD11" s="3"/>
      <c r="BE11" s="5">
        <v>137.38999999999999</v>
      </c>
      <c r="BF11" s="5">
        <v>0</v>
      </c>
    </row>
    <row r="12" spans="1:58">
      <c r="A12" s="3">
        <v>57053</v>
      </c>
      <c r="B12" s="4" t="s">
        <v>1442</v>
      </c>
      <c r="C12" s="4" t="s">
        <v>16</v>
      </c>
      <c r="D12" s="3">
        <v>220</v>
      </c>
      <c r="E12" s="5">
        <v>2289.7600000000002</v>
      </c>
      <c r="F12" s="4" t="s">
        <v>306</v>
      </c>
      <c r="G12" s="4" t="s">
        <v>307</v>
      </c>
      <c r="H12" s="4" t="s">
        <v>2073</v>
      </c>
      <c r="I12" s="4" t="s">
        <v>306</v>
      </c>
      <c r="J12" s="4" t="s">
        <v>2417</v>
      </c>
      <c r="K12" s="4" t="s">
        <v>2405</v>
      </c>
      <c r="L12" s="4" t="s">
        <v>2072</v>
      </c>
      <c r="M12" s="4" t="s">
        <v>0</v>
      </c>
      <c r="N12" s="4" t="s">
        <v>2417</v>
      </c>
      <c r="O12" s="4"/>
      <c r="P12" s="4"/>
      <c r="Q12" s="4"/>
      <c r="R12" s="4"/>
      <c r="S12" s="4"/>
      <c r="T12" s="4"/>
      <c r="U12" s="4"/>
      <c r="V12" s="4" t="s">
        <v>3118</v>
      </c>
      <c r="W12" s="4" t="s">
        <v>3119</v>
      </c>
      <c r="X12" s="3">
        <v>1</v>
      </c>
      <c r="Y12" s="54">
        <v>17</v>
      </c>
      <c r="Z12" s="82">
        <f t="shared" si="0"/>
        <v>2</v>
      </c>
      <c r="AA12" s="57">
        <v>2.85</v>
      </c>
      <c r="AB12" s="81">
        <f t="shared" si="1"/>
        <v>96.9</v>
      </c>
      <c r="AC12" s="55">
        <v>34</v>
      </c>
      <c r="AD12" s="58">
        <v>96.9</v>
      </c>
      <c r="AE12" s="50">
        <v>11</v>
      </c>
      <c r="AF12" s="54"/>
      <c r="AG12" s="82"/>
      <c r="AH12" s="55"/>
      <c r="AI12" s="81">
        <f t="shared" si="3"/>
        <v>0</v>
      </c>
      <c r="AJ12" s="55"/>
      <c r="AK12" s="56"/>
      <c r="AL12" s="50"/>
      <c r="AM12" s="54"/>
      <c r="AN12" s="82"/>
      <c r="AO12" s="55"/>
      <c r="AP12" s="81">
        <f t="shared" si="4"/>
        <v>0</v>
      </c>
      <c r="AQ12" s="55"/>
      <c r="AR12" s="56"/>
      <c r="AS12" s="81">
        <f t="shared" si="5"/>
        <v>96.9</v>
      </c>
      <c r="AT12" s="5">
        <v>96.9</v>
      </c>
      <c r="AU12" s="82" t="b">
        <f t="shared" si="6"/>
        <v>1</v>
      </c>
      <c r="AV12" s="3"/>
      <c r="AW12" s="3"/>
      <c r="AX12" s="3"/>
      <c r="AY12" s="3"/>
      <c r="AZ12" s="3"/>
      <c r="BA12" s="3"/>
      <c r="BB12" s="3"/>
      <c r="BC12" s="3"/>
      <c r="BD12" s="3"/>
      <c r="BE12" s="5">
        <v>137.38999999999999</v>
      </c>
      <c r="BF12" s="5">
        <v>0</v>
      </c>
    </row>
    <row r="13" spans="1:58">
      <c r="A13" s="3">
        <v>56013</v>
      </c>
      <c r="B13" s="4" t="s">
        <v>1444</v>
      </c>
      <c r="C13" s="4" t="s">
        <v>17</v>
      </c>
      <c r="D13" s="3">
        <v>220</v>
      </c>
      <c r="E13" s="5">
        <v>2289.7600000000002</v>
      </c>
      <c r="F13" s="4" t="s">
        <v>306</v>
      </c>
      <c r="G13" s="4" t="s">
        <v>307</v>
      </c>
      <c r="H13" s="4" t="s">
        <v>2073</v>
      </c>
      <c r="I13" s="4" t="s">
        <v>306</v>
      </c>
      <c r="J13" s="4" t="s">
        <v>2413</v>
      </c>
      <c r="K13" s="4" t="s">
        <v>2405</v>
      </c>
      <c r="L13" s="4" t="s">
        <v>2072</v>
      </c>
      <c r="M13" s="4" t="s">
        <v>0</v>
      </c>
      <c r="N13" s="4" t="s">
        <v>2413</v>
      </c>
      <c r="O13" s="4"/>
      <c r="P13" s="4"/>
      <c r="Q13" s="4"/>
      <c r="R13" s="4"/>
      <c r="S13" s="4"/>
      <c r="T13" s="4"/>
      <c r="U13" s="4"/>
      <c r="V13" s="4" t="s">
        <v>3118</v>
      </c>
      <c r="W13" s="4" t="s">
        <v>3119</v>
      </c>
      <c r="X13" s="3">
        <v>1</v>
      </c>
      <c r="Y13" s="54">
        <v>20</v>
      </c>
      <c r="Z13" s="82">
        <f t="shared" si="0"/>
        <v>2</v>
      </c>
      <c r="AA13" s="57">
        <v>2.85</v>
      </c>
      <c r="AB13" s="81">
        <f t="shared" si="1"/>
        <v>114</v>
      </c>
      <c r="AC13" s="55">
        <v>40</v>
      </c>
      <c r="AD13" s="58">
        <v>114</v>
      </c>
      <c r="AE13" s="50"/>
      <c r="AF13" s="54">
        <v>6</v>
      </c>
      <c r="AG13" s="82">
        <f t="shared" si="2"/>
        <v>2</v>
      </c>
      <c r="AH13" s="57">
        <v>3.25</v>
      </c>
      <c r="AI13" s="81">
        <f t="shared" si="3"/>
        <v>39</v>
      </c>
      <c r="AJ13" s="55">
        <v>12</v>
      </c>
      <c r="AK13" s="58">
        <v>39</v>
      </c>
      <c r="AL13" s="50">
        <v>4</v>
      </c>
      <c r="AM13" s="54"/>
      <c r="AN13" s="82"/>
      <c r="AO13" s="55"/>
      <c r="AP13" s="81">
        <f t="shared" si="4"/>
        <v>0</v>
      </c>
      <c r="AQ13" s="55"/>
      <c r="AR13" s="56"/>
      <c r="AS13" s="81">
        <f t="shared" si="5"/>
        <v>153</v>
      </c>
      <c r="AT13" s="5">
        <v>153</v>
      </c>
      <c r="AU13" s="82" t="b">
        <f t="shared" si="6"/>
        <v>1</v>
      </c>
      <c r="AV13" s="3"/>
      <c r="AW13" s="3"/>
      <c r="AX13" s="3"/>
      <c r="AY13" s="3"/>
      <c r="AZ13" s="3"/>
      <c r="BA13" s="3"/>
      <c r="BB13" s="3"/>
      <c r="BC13" s="3"/>
      <c r="BD13" s="3"/>
      <c r="BE13" s="5">
        <v>137.38999999999999</v>
      </c>
      <c r="BF13" s="5">
        <v>15.61</v>
      </c>
    </row>
    <row r="14" spans="1:58">
      <c r="A14" s="3">
        <v>64363</v>
      </c>
      <c r="B14" s="4" t="s">
        <v>1781</v>
      </c>
      <c r="C14" s="4" t="s">
        <v>1262</v>
      </c>
      <c r="D14" s="3">
        <v>220</v>
      </c>
      <c r="E14" s="5">
        <v>2289.7600000000002</v>
      </c>
      <c r="F14" s="4" t="s">
        <v>3009</v>
      </c>
      <c r="G14" s="4" t="s">
        <v>3054</v>
      </c>
      <c r="H14" s="4" t="s">
        <v>2073</v>
      </c>
      <c r="I14" s="4" t="s">
        <v>3009</v>
      </c>
      <c r="J14" s="4" t="s">
        <v>3027</v>
      </c>
      <c r="K14" s="4" t="s">
        <v>2405</v>
      </c>
      <c r="L14" s="4" t="s">
        <v>2072</v>
      </c>
      <c r="M14" s="4" t="s">
        <v>0</v>
      </c>
      <c r="N14" s="4" t="s">
        <v>2420</v>
      </c>
      <c r="O14" s="4"/>
      <c r="P14" s="4"/>
      <c r="Q14" s="4"/>
      <c r="R14" s="4"/>
      <c r="S14" s="4"/>
      <c r="T14" s="4"/>
      <c r="U14" s="4"/>
      <c r="V14" s="4" t="s">
        <v>3118</v>
      </c>
      <c r="W14" s="4" t="s">
        <v>3119</v>
      </c>
      <c r="X14" s="3">
        <v>1</v>
      </c>
      <c r="Y14" s="54">
        <v>18</v>
      </c>
      <c r="Z14" s="82">
        <f t="shared" si="0"/>
        <v>2</v>
      </c>
      <c r="AA14" s="57">
        <v>2.85</v>
      </c>
      <c r="AB14" s="81">
        <f t="shared" si="1"/>
        <v>102.60000000000001</v>
      </c>
      <c r="AC14" s="55">
        <v>36</v>
      </c>
      <c r="AD14" s="58">
        <v>102.6</v>
      </c>
      <c r="AE14" s="50">
        <v>3</v>
      </c>
      <c r="AF14" s="54">
        <v>7</v>
      </c>
      <c r="AG14" s="82">
        <f t="shared" si="2"/>
        <v>2</v>
      </c>
      <c r="AH14" s="57">
        <v>4.3499999999999996</v>
      </c>
      <c r="AI14" s="81">
        <f t="shared" si="3"/>
        <v>60.899999999999991</v>
      </c>
      <c r="AJ14" s="55">
        <v>14</v>
      </c>
      <c r="AK14" s="58">
        <v>60.9</v>
      </c>
      <c r="AL14" s="50">
        <v>10</v>
      </c>
      <c r="AM14" s="54"/>
      <c r="AN14" s="82"/>
      <c r="AO14" s="55"/>
      <c r="AP14" s="81">
        <f t="shared" si="4"/>
        <v>0</v>
      </c>
      <c r="AQ14" s="55"/>
      <c r="AR14" s="56"/>
      <c r="AS14" s="81">
        <f t="shared" si="5"/>
        <v>163.5</v>
      </c>
      <c r="AT14" s="5">
        <v>163.5</v>
      </c>
      <c r="AU14" s="82" t="b">
        <f t="shared" si="6"/>
        <v>1</v>
      </c>
      <c r="AV14" s="3"/>
      <c r="AW14" s="3"/>
      <c r="AX14" s="3"/>
      <c r="AY14" s="3"/>
      <c r="AZ14" s="3"/>
      <c r="BA14" s="3"/>
      <c r="BB14" s="3"/>
      <c r="BC14" s="3"/>
      <c r="BD14" s="3"/>
      <c r="BE14" s="5">
        <v>137.38999999999999</v>
      </c>
      <c r="BF14" s="5">
        <v>26.11</v>
      </c>
    </row>
    <row r="15" spans="1:58">
      <c r="A15" s="3">
        <v>56032</v>
      </c>
      <c r="B15" s="4" t="s">
        <v>1451</v>
      </c>
      <c r="C15" s="4" t="s">
        <v>18</v>
      </c>
      <c r="D15" s="3">
        <v>220</v>
      </c>
      <c r="E15" s="5">
        <v>2289.7600000000002</v>
      </c>
      <c r="F15" s="4" t="s">
        <v>306</v>
      </c>
      <c r="G15" s="4" t="s">
        <v>307</v>
      </c>
      <c r="H15" s="4" t="s">
        <v>2073</v>
      </c>
      <c r="I15" s="4" t="s">
        <v>306</v>
      </c>
      <c r="J15" s="4" t="s">
        <v>2414</v>
      </c>
      <c r="K15" s="4" t="s">
        <v>2405</v>
      </c>
      <c r="L15" s="4" t="s">
        <v>2072</v>
      </c>
      <c r="M15" s="4" t="s">
        <v>0</v>
      </c>
      <c r="N15" s="4" t="s">
        <v>2413</v>
      </c>
      <c r="O15" s="4"/>
      <c r="P15" s="4"/>
      <c r="Q15" s="4"/>
      <c r="R15" s="4"/>
      <c r="S15" s="4"/>
      <c r="T15" s="4"/>
      <c r="U15" s="4"/>
      <c r="V15" s="4" t="s">
        <v>3118</v>
      </c>
      <c r="W15" s="4" t="s">
        <v>3119</v>
      </c>
      <c r="X15" s="3">
        <v>1</v>
      </c>
      <c r="Y15" s="54">
        <v>20</v>
      </c>
      <c r="Z15" s="82">
        <f t="shared" si="0"/>
        <v>2</v>
      </c>
      <c r="AA15" s="57">
        <v>4.28</v>
      </c>
      <c r="AB15" s="81">
        <f t="shared" si="1"/>
        <v>171.20000000000002</v>
      </c>
      <c r="AC15" s="55">
        <v>40</v>
      </c>
      <c r="AD15" s="58">
        <v>171.2</v>
      </c>
      <c r="AE15" s="50">
        <v>1</v>
      </c>
      <c r="AF15" s="54"/>
      <c r="AG15" s="82"/>
      <c r="AH15" s="55"/>
      <c r="AI15" s="81">
        <f t="shared" si="3"/>
        <v>0</v>
      </c>
      <c r="AJ15" s="55"/>
      <c r="AK15" s="56"/>
      <c r="AL15" s="50"/>
      <c r="AM15" s="54"/>
      <c r="AN15" s="82"/>
      <c r="AO15" s="55"/>
      <c r="AP15" s="81">
        <f t="shared" si="4"/>
        <v>0</v>
      </c>
      <c r="AQ15" s="55"/>
      <c r="AR15" s="56"/>
      <c r="AS15" s="81">
        <f t="shared" si="5"/>
        <v>171.20000000000002</v>
      </c>
      <c r="AT15" s="5">
        <v>171.2</v>
      </c>
      <c r="AU15" s="82" t="b">
        <f t="shared" si="6"/>
        <v>1</v>
      </c>
      <c r="AV15" s="3"/>
      <c r="AW15" s="3"/>
      <c r="AX15" s="3"/>
      <c r="AY15" s="3"/>
      <c r="AZ15" s="3"/>
      <c r="BA15" s="3"/>
      <c r="BB15" s="3"/>
      <c r="BC15" s="3"/>
      <c r="BD15" s="3"/>
      <c r="BE15" s="5">
        <v>137.38999999999999</v>
      </c>
      <c r="BF15" s="5">
        <v>33.81</v>
      </c>
    </row>
    <row r="16" spans="1:58">
      <c r="A16" s="3">
        <v>57056</v>
      </c>
      <c r="B16" s="4" t="s">
        <v>1455</v>
      </c>
      <c r="C16" s="4" t="s">
        <v>21</v>
      </c>
      <c r="D16" s="3">
        <v>220</v>
      </c>
      <c r="E16" s="5">
        <v>2289.7600000000002</v>
      </c>
      <c r="F16" s="4" t="s">
        <v>306</v>
      </c>
      <c r="G16" s="4" t="s">
        <v>307</v>
      </c>
      <c r="H16" s="4" t="s">
        <v>2073</v>
      </c>
      <c r="I16" s="4" t="s">
        <v>306</v>
      </c>
      <c r="J16" s="4" t="s">
        <v>2417</v>
      </c>
      <c r="K16" s="4" t="s">
        <v>2405</v>
      </c>
      <c r="L16" s="4" t="s">
        <v>2072</v>
      </c>
      <c r="M16" s="4" t="s">
        <v>0</v>
      </c>
      <c r="N16" s="4" t="s">
        <v>2417</v>
      </c>
      <c r="O16" s="4"/>
      <c r="P16" s="4"/>
      <c r="Q16" s="4"/>
      <c r="R16" s="4"/>
      <c r="S16" s="4"/>
      <c r="T16" s="4"/>
      <c r="U16" s="4"/>
      <c r="V16" s="4" t="s">
        <v>3118</v>
      </c>
      <c r="W16" s="4" t="s">
        <v>3119</v>
      </c>
      <c r="X16" s="3">
        <v>1</v>
      </c>
      <c r="Y16" s="54"/>
      <c r="Z16" s="82"/>
      <c r="AA16" s="55"/>
      <c r="AB16" s="81">
        <f t="shared" si="1"/>
        <v>0</v>
      </c>
      <c r="AC16" s="55"/>
      <c r="AD16" s="56"/>
      <c r="AE16" s="50"/>
      <c r="AF16" s="54">
        <v>13</v>
      </c>
      <c r="AG16" s="82">
        <f t="shared" si="2"/>
        <v>2</v>
      </c>
      <c r="AH16" s="57">
        <v>4.5</v>
      </c>
      <c r="AI16" s="81">
        <f t="shared" si="3"/>
        <v>117</v>
      </c>
      <c r="AJ16" s="55">
        <v>26</v>
      </c>
      <c r="AK16" s="58">
        <v>117</v>
      </c>
      <c r="AL16" s="50">
        <v>7</v>
      </c>
      <c r="AM16" s="54"/>
      <c r="AN16" s="82"/>
      <c r="AO16" s="55"/>
      <c r="AP16" s="81">
        <f t="shared" si="4"/>
        <v>0</v>
      </c>
      <c r="AQ16" s="55"/>
      <c r="AR16" s="56"/>
      <c r="AS16" s="81">
        <f t="shared" si="5"/>
        <v>117</v>
      </c>
      <c r="AT16" s="5">
        <v>117</v>
      </c>
      <c r="AU16" s="82" t="b">
        <f t="shared" si="6"/>
        <v>1</v>
      </c>
      <c r="AV16" s="3"/>
      <c r="AW16" s="3"/>
      <c r="AX16" s="3"/>
      <c r="AY16" s="3"/>
      <c r="AZ16" s="3"/>
      <c r="BA16" s="3"/>
      <c r="BB16" s="3"/>
      <c r="BC16" s="3"/>
      <c r="BD16" s="3"/>
      <c r="BE16" s="5">
        <v>137.38999999999999</v>
      </c>
      <c r="BF16" s="5">
        <v>0</v>
      </c>
    </row>
    <row r="17" spans="1:58">
      <c r="A17" s="3">
        <v>56008</v>
      </c>
      <c r="B17" s="4" t="s">
        <v>1467</v>
      </c>
      <c r="C17" s="4" t="s">
        <v>23</v>
      </c>
      <c r="D17" s="3">
        <v>220</v>
      </c>
      <c r="E17" s="5">
        <v>2289.7600000000002</v>
      </c>
      <c r="F17" s="4" t="s">
        <v>306</v>
      </c>
      <c r="G17" s="4" t="s">
        <v>307</v>
      </c>
      <c r="H17" s="4" t="s">
        <v>2073</v>
      </c>
      <c r="I17" s="4" t="s">
        <v>306</v>
      </c>
      <c r="J17" s="4" t="s">
        <v>2413</v>
      </c>
      <c r="K17" s="4" t="s">
        <v>2405</v>
      </c>
      <c r="L17" s="4" t="s">
        <v>2072</v>
      </c>
      <c r="M17" s="4" t="s">
        <v>0</v>
      </c>
      <c r="N17" s="4" t="s">
        <v>2413</v>
      </c>
      <c r="O17" s="4"/>
      <c r="P17" s="4"/>
      <c r="Q17" s="4"/>
      <c r="R17" s="4"/>
      <c r="S17" s="4"/>
      <c r="T17" s="4"/>
      <c r="U17" s="4"/>
      <c r="V17" s="4" t="s">
        <v>3118</v>
      </c>
      <c r="W17" s="4" t="s">
        <v>3119</v>
      </c>
      <c r="X17" s="3">
        <v>1</v>
      </c>
      <c r="Y17" s="54"/>
      <c r="Z17" s="82"/>
      <c r="AA17" s="55"/>
      <c r="AB17" s="81">
        <f t="shared" si="1"/>
        <v>0</v>
      </c>
      <c r="AC17" s="55"/>
      <c r="AD17" s="56"/>
      <c r="AE17" s="50"/>
      <c r="AF17" s="54">
        <v>20</v>
      </c>
      <c r="AG17" s="82">
        <f t="shared" si="2"/>
        <v>2</v>
      </c>
      <c r="AH17" s="57">
        <v>4.5</v>
      </c>
      <c r="AI17" s="81">
        <f t="shared" si="3"/>
        <v>180</v>
      </c>
      <c r="AJ17" s="55">
        <v>40</v>
      </c>
      <c r="AK17" s="58">
        <v>180</v>
      </c>
      <c r="AL17" s="50"/>
      <c r="AM17" s="54"/>
      <c r="AN17" s="82"/>
      <c r="AO17" s="55"/>
      <c r="AP17" s="81">
        <f t="shared" si="4"/>
        <v>0</v>
      </c>
      <c r="AQ17" s="55"/>
      <c r="AR17" s="56"/>
      <c r="AS17" s="81">
        <f t="shared" si="5"/>
        <v>180</v>
      </c>
      <c r="AT17" s="5">
        <v>180</v>
      </c>
      <c r="AU17" s="82" t="b">
        <f t="shared" si="6"/>
        <v>1</v>
      </c>
      <c r="AV17" s="3"/>
      <c r="AW17" s="3"/>
      <c r="AX17" s="3"/>
      <c r="AY17" s="3"/>
      <c r="AZ17" s="3"/>
      <c r="BA17" s="3"/>
      <c r="BB17" s="3"/>
      <c r="BC17" s="3"/>
      <c r="BD17" s="3"/>
      <c r="BE17" s="5">
        <v>137.38999999999999</v>
      </c>
      <c r="BF17" s="5">
        <v>42.61</v>
      </c>
    </row>
    <row r="18" spans="1:58">
      <c r="A18" s="3">
        <v>58061</v>
      </c>
      <c r="B18" s="4" t="s">
        <v>1468</v>
      </c>
      <c r="C18" s="4" t="s">
        <v>24</v>
      </c>
      <c r="D18" s="3">
        <v>220</v>
      </c>
      <c r="E18" s="5">
        <v>2289.7600000000002</v>
      </c>
      <c r="F18" s="4" t="s">
        <v>306</v>
      </c>
      <c r="G18" s="4" t="s">
        <v>307</v>
      </c>
      <c r="H18" s="4" t="s">
        <v>2073</v>
      </c>
      <c r="I18" s="4" t="s">
        <v>306</v>
      </c>
      <c r="J18" s="4" t="s">
        <v>2752</v>
      </c>
      <c r="K18" s="4" t="s">
        <v>2405</v>
      </c>
      <c r="L18" s="4" t="s">
        <v>2072</v>
      </c>
      <c r="M18" s="4" t="s">
        <v>0</v>
      </c>
      <c r="N18" s="4" t="s">
        <v>2752</v>
      </c>
      <c r="O18" s="4"/>
      <c r="P18" s="4"/>
      <c r="Q18" s="4"/>
      <c r="R18" s="4"/>
      <c r="S18" s="4"/>
      <c r="T18" s="4"/>
      <c r="U18" s="4"/>
      <c r="V18" s="4" t="s">
        <v>3118</v>
      </c>
      <c r="W18" s="4" t="s">
        <v>3119</v>
      </c>
      <c r="X18" s="3">
        <v>1</v>
      </c>
      <c r="Y18" s="54">
        <v>10</v>
      </c>
      <c r="Z18" s="82">
        <f t="shared" si="0"/>
        <v>1</v>
      </c>
      <c r="AA18" s="57">
        <f>7.13+2.85</f>
        <v>9.98</v>
      </c>
      <c r="AB18" s="81">
        <f t="shared" si="1"/>
        <v>99.800000000000011</v>
      </c>
      <c r="AC18" s="55">
        <v>10</v>
      </c>
      <c r="AD18" s="58">
        <v>99.8</v>
      </c>
      <c r="AE18" s="50">
        <v>7</v>
      </c>
      <c r="AF18" s="54"/>
      <c r="AG18" s="82"/>
      <c r="AH18" s="55"/>
      <c r="AI18" s="81">
        <f t="shared" si="3"/>
        <v>0</v>
      </c>
      <c r="AJ18" s="55"/>
      <c r="AK18" s="56"/>
      <c r="AL18" s="50"/>
      <c r="AM18" s="54"/>
      <c r="AN18" s="82"/>
      <c r="AO18" s="55"/>
      <c r="AP18" s="81">
        <f t="shared" si="4"/>
        <v>0</v>
      </c>
      <c r="AQ18" s="55"/>
      <c r="AR18" s="56"/>
      <c r="AS18" s="81">
        <f t="shared" si="5"/>
        <v>99.800000000000011</v>
      </c>
      <c r="AT18" s="5">
        <v>99.8</v>
      </c>
      <c r="AU18" s="82" t="b">
        <f t="shared" si="6"/>
        <v>1</v>
      </c>
      <c r="AV18" s="3"/>
      <c r="AW18" s="3"/>
      <c r="AX18" s="3"/>
      <c r="AY18" s="3"/>
      <c r="AZ18" s="3"/>
      <c r="BA18" s="3"/>
      <c r="BB18" s="3"/>
      <c r="BC18" s="3"/>
      <c r="BD18" s="3"/>
      <c r="BE18" s="5">
        <v>137.38999999999999</v>
      </c>
      <c r="BF18" s="5">
        <v>0</v>
      </c>
    </row>
    <row r="19" spans="1:58">
      <c r="A19" s="3">
        <v>56033</v>
      </c>
      <c r="B19" s="4" t="s">
        <v>1469</v>
      </c>
      <c r="C19" s="4" t="s">
        <v>25</v>
      </c>
      <c r="D19" s="3">
        <v>220</v>
      </c>
      <c r="E19" s="5">
        <v>2289.7600000000002</v>
      </c>
      <c r="F19" s="4" t="s">
        <v>848</v>
      </c>
      <c r="G19" s="4" t="s">
        <v>849</v>
      </c>
      <c r="H19" s="4" t="s">
        <v>2078</v>
      </c>
      <c r="I19" s="4" t="s">
        <v>848</v>
      </c>
      <c r="J19" s="4" t="s">
        <v>2437</v>
      </c>
      <c r="K19" s="4" t="s">
        <v>2405</v>
      </c>
      <c r="L19" s="4" t="s">
        <v>2072</v>
      </c>
      <c r="M19" s="4" t="s">
        <v>0</v>
      </c>
      <c r="N19" s="4" t="s">
        <v>2413</v>
      </c>
      <c r="O19" s="4"/>
      <c r="P19" s="4"/>
      <c r="Q19" s="4"/>
      <c r="R19" s="4"/>
      <c r="S19" s="4"/>
      <c r="T19" s="4"/>
      <c r="U19" s="4"/>
      <c r="V19" s="4" t="s">
        <v>3118</v>
      </c>
      <c r="W19" s="4" t="s">
        <v>3119</v>
      </c>
      <c r="X19" s="3">
        <v>1</v>
      </c>
      <c r="Y19" s="54">
        <v>18</v>
      </c>
      <c r="Z19" s="82">
        <f t="shared" si="0"/>
        <v>2</v>
      </c>
      <c r="AA19" s="57">
        <v>2.85</v>
      </c>
      <c r="AB19" s="81">
        <f t="shared" si="1"/>
        <v>102.60000000000001</v>
      </c>
      <c r="AC19" s="55">
        <v>36</v>
      </c>
      <c r="AD19" s="58">
        <v>102.6</v>
      </c>
      <c r="AE19" s="50"/>
      <c r="AF19" s="54">
        <v>18</v>
      </c>
      <c r="AG19" s="82">
        <f t="shared" si="2"/>
        <v>2</v>
      </c>
      <c r="AH19" s="57">
        <v>4.3499999999999996</v>
      </c>
      <c r="AI19" s="81">
        <f t="shared" si="3"/>
        <v>156.6</v>
      </c>
      <c r="AJ19" s="55">
        <v>36</v>
      </c>
      <c r="AK19" s="58">
        <v>156.6</v>
      </c>
      <c r="AL19" s="50"/>
      <c r="AM19" s="54"/>
      <c r="AN19" s="82"/>
      <c r="AO19" s="55"/>
      <c r="AP19" s="81">
        <f t="shared" si="4"/>
        <v>0</v>
      </c>
      <c r="AQ19" s="55"/>
      <c r="AR19" s="56"/>
      <c r="AS19" s="81">
        <f t="shared" si="5"/>
        <v>259.2</v>
      </c>
      <c r="AT19" s="5">
        <v>259.2</v>
      </c>
      <c r="AU19" s="82" t="b">
        <f t="shared" si="6"/>
        <v>1</v>
      </c>
      <c r="AV19" s="3"/>
      <c r="AW19" s="3"/>
      <c r="AX19" s="3"/>
      <c r="AY19" s="3"/>
      <c r="AZ19" s="3"/>
      <c r="BA19" s="3"/>
      <c r="BB19" s="3"/>
      <c r="BC19" s="3"/>
      <c r="BD19" s="3"/>
      <c r="BE19" s="5">
        <v>137.38999999999999</v>
      </c>
      <c r="BF19" s="5">
        <v>121.81</v>
      </c>
    </row>
    <row r="20" spans="1:58">
      <c r="A20" s="3">
        <v>56178</v>
      </c>
      <c r="B20" s="4" t="s">
        <v>1473</v>
      </c>
      <c r="C20" s="4" t="s">
        <v>80</v>
      </c>
      <c r="D20" s="3">
        <v>220</v>
      </c>
      <c r="E20" s="5">
        <v>2289.7600000000002</v>
      </c>
      <c r="F20" s="4" t="s">
        <v>848</v>
      </c>
      <c r="G20" s="4" t="s">
        <v>849</v>
      </c>
      <c r="H20" s="4" t="s">
        <v>2078</v>
      </c>
      <c r="I20" s="4" t="s">
        <v>848</v>
      </c>
      <c r="J20" s="4" t="s">
        <v>2413</v>
      </c>
      <c r="K20" s="4" t="s">
        <v>2405</v>
      </c>
      <c r="L20" s="4" t="s">
        <v>2072</v>
      </c>
      <c r="M20" s="4" t="s">
        <v>0</v>
      </c>
      <c r="N20" s="4" t="s">
        <v>2413</v>
      </c>
      <c r="O20" s="4"/>
      <c r="P20" s="4"/>
      <c r="Q20" s="4"/>
      <c r="R20" s="4"/>
      <c r="S20" s="4"/>
      <c r="T20" s="4"/>
      <c r="U20" s="4"/>
      <c r="V20" s="4" t="s">
        <v>3118</v>
      </c>
      <c r="W20" s="4" t="s">
        <v>3119</v>
      </c>
      <c r="X20" s="3">
        <v>1</v>
      </c>
      <c r="Y20" s="54"/>
      <c r="Z20" s="82"/>
      <c r="AA20" s="55"/>
      <c r="AB20" s="81">
        <f t="shared" si="1"/>
        <v>0</v>
      </c>
      <c r="AC20" s="55"/>
      <c r="AD20" s="56"/>
      <c r="AE20" s="50"/>
      <c r="AF20" s="54">
        <v>19</v>
      </c>
      <c r="AG20" s="82">
        <f t="shared" si="2"/>
        <v>2</v>
      </c>
      <c r="AH20" s="57">
        <v>4.3499999999999996</v>
      </c>
      <c r="AI20" s="81">
        <f t="shared" si="3"/>
        <v>165.29999999999998</v>
      </c>
      <c r="AJ20" s="55">
        <v>38</v>
      </c>
      <c r="AK20" s="58">
        <v>165.3</v>
      </c>
      <c r="AL20" s="50"/>
      <c r="AM20" s="54"/>
      <c r="AN20" s="82"/>
      <c r="AO20" s="55"/>
      <c r="AP20" s="81">
        <f t="shared" si="4"/>
        <v>0</v>
      </c>
      <c r="AQ20" s="55"/>
      <c r="AR20" s="56"/>
      <c r="AS20" s="81">
        <f t="shared" si="5"/>
        <v>165.29999999999998</v>
      </c>
      <c r="AT20" s="5">
        <v>165.3</v>
      </c>
      <c r="AU20" s="82" t="b">
        <f t="shared" si="6"/>
        <v>1</v>
      </c>
      <c r="AV20" s="3"/>
      <c r="AW20" s="3"/>
      <c r="AX20" s="3"/>
      <c r="AY20" s="3"/>
      <c r="AZ20" s="3"/>
      <c r="BA20" s="3"/>
      <c r="BB20" s="3"/>
      <c r="BC20" s="3"/>
      <c r="BD20" s="3"/>
      <c r="BE20" s="5">
        <v>137.38999999999999</v>
      </c>
      <c r="BF20" s="5">
        <v>27.91</v>
      </c>
    </row>
    <row r="21" spans="1:58">
      <c r="A21" s="3">
        <v>66372</v>
      </c>
      <c r="B21" s="4" t="s">
        <v>1481</v>
      </c>
      <c r="C21" s="4" t="s">
        <v>1325</v>
      </c>
      <c r="D21" s="3">
        <v>220</v>
      </c>
      <c r="E21" s="5">
        <v>2289.7600000000002</v>
      </c>
      <c r="F21" s="4" t="s">
        <v>306</v>
      </c>
      <c r="G21" s="4" t="s">
        <v>307</v>
      </c>
      <c r="H21" s="4" t="s">
        <v>2073</v>
      </c>
      <c r="I21" s="4" t="s">
        <v>306</v>
      </c>
      <c r="J21" s="4" t="s">
        <v>2423</v>
      </c>
      <c r="K21" s="4" t="s">
        <v>2405</v>
      </c>
      <c r="L21" s="4" t="s">
        <v>2072</v>
      </c>
      <c r="M21" s="4" t="s">
        <v>0</v>
      </c>
      <c r="N21" s="4" t="s">
        <v>2423</v>
      </c>
      <c r="O21" s="4"/>
      <c r="P21" s="4"/>
      <c r="Q21" s="4"/>
      <c r="R21" s="4"/>
      <c r="S21" s="4"/>
      <c r="T21" s="4"/>
      <c r="U21" s="4"/>
      <c r="V21" s="4" t="s">
        <v>3118</v>
      </c>
      <c r="W21" s="4" t="s">
        <v>3119</v>
      </c>
      <c r="X21" s="3">
        <v>1</v>
      </c>
      <c r="Y21" s="54">
        <v>0</v>
      </c>
      <c r="Z21" s="82"/>
      <c r="AA21" s="57">
        <v>2.85</v>
      </c>
      <c r="AB21" s="81">
        <f t="shared" si="1"/>
        <v>0</v>
      </c>
      <c r="AC21" s="55">
        <v>0</v>
      </c>
      <c r="AD21" s="58">
        <v>0</v>
      </c>
      <c r="AE21" s="50">
        <v>5</v>
      </c>
      <c r="AF21" s="54"/>
      <c r="AG21" s="82"/>
      <c r="AH21" s="55"/>
      <c r="AI21" s="81">
        <f t="shared" si="3"/>
        <v>0</v>
      </c>
      <c r="AJ21" s="55"/>
      <c r="AK21" s="56"/>
      <c r="AL21" s="50"/>
      <c r="AM21" s="54"/>
      <c r="AN21" s="82"/>
      <c r="AO21" s="55"/>
      <c r="AP21" s="81">
        <f t="shared" si="4"/>
        <v>0</v>
      </c>
      <c r="AQ21" s="55"/>
      <c r="AR21" s="56"/>
      <c r="AS21" s="81">
        <f t="shared" si="5"/>
        <v>0</v>
      </c>
      <c r="AT21" s="5">
        <v>0</v>
      </c>
      <c r="AU21" s="82" t="b">
        <f t="shared" si="6"/>
        <v>1</v>
      </c>
      <c r="AV21" s="3"/>
      <c r="AW21" s="3"/>
      <c r="AX21" s="3"/>
      <c r="AY21" s="3"/>
      <c r="AZ21" s="3"/>
      <c r="BA21" s="3"/>
      <c r="BB21" s="3"/>
      <c r="BC21" s="3"/>
      <c r="BD21" s="3"/>
      <c r="BE21" s="5">
        <v>137.38999999999999</v>
      </c>
      <c r="BF21" s="5">
        <v>0</v>
      </c>
    </row>
    <row r="22" spans="1:58">
      <c r="A22" s="3">
        <v>56058</v>
      </c>
      <c r="B22" s="4" t="s">
        <v>1482</v>
      </c>
      <c r="C22" s="4" t="s">
        <v>27</v>
      </c>
      <c r="D22" s="3">
        <v>220</v>
      </c>
      <c r="E22" s="5">
        <v>2289.7600000000002</v>
      </c>
      <c r="F22" s="4" t="s">
        <v>306</v>
      </c>
      <c r="G22" s="4" t="s">
        <v>307</v>
      </c>
      <c r="H22" s="4" t="s">
        <v>2073</v>
      </c>
      <c r="I22" s="4" t="s">
        <v>306</v>
      </c>
      <c r="J22" s="4" t="s">
        <v>2413</v>
      </c>
      <c r="K22" s="4" t="s">
        <v>2405</v>
      </c>
      <c r="L22" s="4" t="s">
        <v>2072</v>
      </c>
      <c r="M22" s="4" t="s">
        <v>0</v>
      </c>
      <c r="N22" s="4" t="s">
        <v>2413</v>
      </c>
      <c r="O22" s="4"/>
      <c r="P22" s="4"/>
      <c r="Q22" s="4"/>
      <c r="R22" s="4"/>
      <c r="S22" s="4"/>
      <c r="T22" s="4"/>
      <c r="U22" s="4"/>
      <c r="V22" s="4" t="s">
        <v>3118</v>
      </c>
      <c r="W22" s="4" t="s">
        <v>3119</v>
      </c>
      <c r="X22" s="3">
        <v>1</v>
      </c>
      <c r="Y22" s="54"/>
      <c r="Z22" s="82"/>
      <c r="AA22" s="55"/>
      <c r="AB22" s="81">
        <f t="shared" si="1"/>
        <v>0</v>
      </c>
      <c r="AC22" s="55"/>
      <c r="AD22" s="56"/>
      <c r="AE22" s="50"/>
      <c r="AF22" s="54">
        <v>11</v>
      </c>
      <c r="AG22" s="82">
        <f t="shared" si="2"/>
        <v>2</v>
      </c>
      <c r="AH22" s="57">
        <v>4.5</v>
      </c>
      <c r="AI22" s="81">
        <f t="shared" si="3"/>
        <v>99</v>
      </c>
      <c r="AJ22" s="55">
        <v>22</v>
      </c>
      <c r="AK22" s="58">
        <v>99</v>
      </c>
      <c r="AL22" s="50">
        <v>13</v>
      </c>
      <c r="AM22" s="54"/>
      <c r="AN22" s="82"/>
      <c r="AO22" s="55"/>
      <c r="AP22" s="81">
        <f t="shared" si="4"/>
        <v>0</v>
      </c>
      <c r="AQ22" s="55"/>
      <c r="AR22" s="56"/>
      <c r="AS22" s="81">
        <f t="shared" si="5"/>
        <v>99</v>
      </c>
      <c r="AT22" s="5">
        <v>99</v>
      </c>
      <c r="AU22" s="82" t="b">
        <f t="shared" si="6"/>
        <v>1</v>
      </c>
      <c r="AV22" s="3"/>
      <c r="AW22" s="3"/>
      <c r="AX22" s="3"/>
      <c r="AY22" s="3"/>
      <c r="AZ22" s="3"/>
      <c r="BA22" s="3"/>
      <c r="BB22" s="3"/>
      <c r="BC22" s="3"/>
      <c r="BD22" s="3"/>
      <c r="BE22" s="5">
        <v>137.38999999999999</v>
      </c>
      <c r="BF22" s="5">
        <v>0</v>
      </c>
    </row>
    <row r="23" spans="1:58">
      <c r="A23" s="3">
        <v>56037</v>
      </c>
      <c r="B23" s="4" t="s">
        <v>1487</v>
      </c>
      <c r="C23" s="4" t="s">
        <v>28</v>
      </c>
      <c r="D23" s="3">
        <v>220</v>
      </c>
      <c r="E23" s="5">
        <v>2289.7600000000002</v>
      </c>
      <c r="F23" s="4" t="s">
        <v>306</v>
      </c>
      <c r="G23" s="4" t="s">
        <v>307</v>
      </c>
      <c r="H23" s="4" t="s">
        <v>2073</v>
      </c>
      <c r="I23" s="4" t="s">
        <v>306</v>
      </c>
      <c r="J23" s="4" t="s">
        <v>2414</v>
      </c>
      <c r="K23" s="4" t="s">
        <v>2405</v>
      </c>
      <c r="L23" s="4" t="s">
        <v>2072</v>
      </c>
      <c r="M23" s="4" t="s">
        <v>0</v>
      </c>
      <c r="N23" s="4" t="s">
        <v>2413</v>
      </c>
      <c r="O23" s="4"/>
      <c r="P23" s="4"/>
      <c r="Q23" s="4"/>
      <c r="R23" s="4"/>
      <c r="S23" s="4"/>
      <c r="T23" s="4"/>
      <c r="U23" s="4"/>
      <c r="V23" s="4" t="s">
        <v>3118</v>
      </c>
      <c r="W23" s="4" t="s">
        <v>3119</v>
      </c>
      <c r="X23" s="3">
        <v>1</v>
      </c>
      <c r="Y23" s="54">
        <v>15</v>
      </c>
      <c r="Z23" s="82">
        <f t="shared" si="0"/>
        <v>2</v>
      </c>
      <c r="AA23" s="57">
        <v>4.28</v>
      </c>
      <c r="AB23" s="81">
        <f t="shared" si="1"/>
        <v>128.4</v>
      </c>
      <c r="AC23" s="55">
        <v>30</v>
      </c>
      <c r="AD23" s="58">
        <v>128.4</v>
      </c>
      <c r="AE23" s="50">
        <v>3</v>
      </c>
      <c r="AF23" s="54"/>
      <c r="AG23" s="82"/>
      <c r="AH23" s="55"/>
      <c r="AI23" s="81">
        <f t="shared" si="3"/>
        <v>0</v>
      </c>
      <c r="AJ23" s="55"/>
      <c r="AK23" s="56"/>
      <c r="AL23" s="50"/>
      <c r="AM23" s="54"/>
      <c r="AN23" s="82"/>
      <c r="AO23" s="55"/>
      <c r="AP23" s="81">
        <f t="shared" si="4"/>
        <v>0</v>
      </c>
      <c r="AQ23" s="55"/>
      <c r="AR23" s="56"/>
      <c r="AS23" s="81">
        <f t="shared" si="5"/>
        <v>128.4</v>
      </c>
      <c r="AT23" s="5">
        <v>128.4</v>
      </c>
      <c r="AU23" s="82" t="b">
        <f t="shared" si="6"/>
        <v>1</v>
      </c>
      <c r="AV23" s="3"/>
      <c r="AW23" s="3"/>
      <c r="AX23" s="3"/>
      <c r="AY23" s="3"/>
      <c r="AZ23" s="3"/>
      <c r="BA23" s="3"/>
      <c r="BB23" s="3"/>
      <c r="BC23" s="3"/>
      <c r="BD23" s="3"/>
      <c r="BE23" s="5">
        <v>137.38999999999999</v>
      </c>
      <c r="BF23" s="5">
        <v>0</v>
      </c>
    </row>
    <row r="24" spans="1:58">
      <c r="A24" s="3">
        <v>56036</v>
      </c>
      <c r="B24" s="4" t="s">
        <v>1489</v>
      </c>
      <c r="C24" s="4" t="s">
        <v>30</v>
      </c>
      <c r="D24" s="3">
        <v>220</v>
      </c>
      <c r="E24" s="5">
        <v>2289.7600000000002</v>
      </c>
      <c r="F24" s="4" t="s">
        <v>306</v>
      </c>
      <c r="G24" s="4" t="s">
        <v>307</v>
      </c>
      <c r="H24" s="4" t="s">
        <v>2073</v>
      </c>
      <c r="I24" s="4" t="s">
        <v>306</v>
      </c>
      <c r="J24" s="4" t="s">
        <v>2413</v>
      </c>
      <c r="K24" s="4" t="s">
        <v>2405</v>
      </c>
      <c r="L24" s="4" t="s">
        <v>2072</v>
      </c>
      <c r="M24" s="4" t="s">
        <v>0</v>
      </c>
      <c r="N24" s="4" t="s">
        <v>2413</v>
      </c>
      <c r="O24" s="4"/>
      <c r="P24" s="4"/>
      <c r="Q24" s="4"/>
      <c r="R24" s="4"/>
      <c r="S24" s="4"/>
      <c r="T24" s="4"/>
      <c r="U24" s="4"/>
      <c r="V24" s="4" t="s">
        <v>3118</v>
      </c>
      <c r="W24" s="4" t="s">
        <v>3119</v>
      </c>
      <c r="X24" s="3">
        <v>1</v>
      </c>
      <c r="Y24" s="54">
        <v>16</v>
      </c>
      <c r="Z24" s="82">
        <f t="shared" si="0"/>
        <v>2</v>
      </c>
      <c r="AA24" s="57">
        <v>2.85</v>
      </c>
      <c r="AB24" s="81">
        <f t="shared" si="1"/>
        <v>91.2</v>
      </c>
      <c r="AC24" s="55">
        <v>32</v>
      </c>
      <c r="AD24" s="58">
        <v>91.2</v>
      </c>
      <c r="AE24" s="50"/>
      <c r="AF24" s="54"/>
      <c r="AG24" s="82"/>
      <c r="AH24" s="55"/>
      <c r="AI24" s="81">
        <f t="shared" si="3"/>
        <v>0</v>
      </c>
      <c r="AJ24" s="55"/>
      <c r="AK24" s="56"/>
      <c r="AL24" s="50"/>
      <c r="AM24" s="54"/>
      <c r="AN24" s="82"/>
      <c r="AO24" s="55"/>
      <c r="AP24" s="81">
        <f t="shared" si="4"/>
        <v>0</v>
      </c>
      <c r="AQ24" s="55"/>
      <c r="AR24" s="56"/>
      <c r="AS24" s="81">
        <f t="shared" si="5"/>
        <v>91.2</v>
      </c>
      <c r="AT24" s="5">
        <v>91.2</v>
      </c>
      <c r="AU24" s="82" t="b">
        <f t="shared" si="6"/>
        <v>1</v>
      </c>
      <c r="AV24" s="3"/>
      <c r="AW24" s="3"/>
      <c r="AX24" s="3"/>
      <c r="AY24" s="3"/>
      <c r="AZ24" s="3"/>
      <c r="BA24" s="3"/>
      <c r="BB24" s="3"/>
      <c r="BC24" s="3"/>
      <c r="BD24" s="3"/>
      <c r="BE24" s="5">
        <v>137.38999999999999</v>
      </c>
      <c r="BF24" s="5">
        <v>0</v>
      </c>
    </row>
    <row r="25" spans="1:58">
      <c r="A25" s="3">
        <v>56039</v>
      </c>
      <c r="B25" s="4" t="s">
        <v>1494</v>
      </c>
      <c r="C25" s="4" t="s">
        <v>34</v>
      </c>
      <c r="D25" s="3">
        <v>220</v>
      </c>
      <c r="E25" s="5">
        <v>2289.7600000000002</v>
      </c>
      <c r="F25" s="4" t="s">
        <v>306</v>
      </c>
      <c r="G25" s="4" t="s">
        <v>307</v>
      </c>
      <c r="H25" s="4" t="s">
        <v>2073</v>
      </c>
      <c r="I25" s="4" t="s">
        <v>306</v>
      </c>
      <c r="J25" s="4" t="s">
        <v>2413</v>
      </c>
      <c r="K25" s="4" t="s">
        <v>2405</v>
      </c>
      <c r="L25" s="4" t="s">
        <v>2072</v>
      </c>
      <c r="M25" s="4" t="s">
        <v>0</v>
      </c>
      <c r="N25" s="4" t="s">
        <v>2413</v>
      </c>
      <c r="O25" s="4"/>
      <c r="P25" s="4"/>
      <c r="Q25" s="4"/>
      <c r="R25" s="4"/>
      <c r="S25" s="4"/>
      <c r="T25" s="4"/>
      <c r="U25" s="4"/>
      <c r="V25" s="4" t="s">
        <v>3118</v>
      </c>
      <c r="W25" s="4" t="s">
        <v>3119</v>
      </c>
      <c r="X25" s="3">
        <v>1</v>
      </c>
      <c r="Y25" s="54">
        <v>17</v>
      </c>
      <c r="Z25" s="82">
        <f t="shared" si="0"/>
        <v>2</v>
      </c>
      <c r="AA25" s="57">
        <v>2.85</v>
      </c>
      <c r="AB25" s="81">
        <f t="shared" si="1"/>
        <v>96.9</v>
      </c>
      <c r="AC25" s="55">
        <v>34</v>
      </c>
      <c r="AD25" s="58">
        <v>96.9</v>
      </c>
      <c r="AE25" s="50">
        <v>5</v>
      </c>
      <c r="AF25" s="54"/>
      <c r="AG25" s="82"/>
      <c r="AH25" s="55"/>
      <c r="AI25" s="81">
        <f t="shared" si="3"/>
        <v>0</v>
      </c>
      <c r="AJ25" s="55"/>
      <c r="AK25" s="56"/>
      <c r="AL25" s="50"/>
      <c r="AM25" s="54"/>
      <c r="AN25" s="82"/>
      <c r="AO25" s="55"/>
      <c r="AP25" s="81">
        <f t="shared" si="4"/>
        <v>0</v>
      </c>
      <c r="AQ25" s="55"/>
      <c r="AR25" s="56"/>
      <c r="AS25" s="81">
        <f t="shared" si="5"/>
        <v>96.9</v>
      </c>
      <c r="AT25" s="5">
        <v>96.9</v>
      </c>
      <c r="AU25" s="82" t="b">
        <f t="shared" si="6"/>
        <v>1</v>
      </c>
      <c r="AV25" s="3"/>
      <c r="AW25" s="3"/>
      <c r="AX25" s="3"/>
      <c r="AY25" s="3"/>
      <c r="AZ25" s="3"/>
      <c r="BA25" s="3"/>
      <c r="BB25" s="3"/>
      <c r="BC25" s="3"/>
      <c r="BD25" s="3"/>
      <c r="BE25" s="5">
        <v>137.38999999999999</v>
      </c>
      <c r="BF25" s="5">
        <v>0</v>
      </c>
    </row>
    <row r="26" spans="1:58">
      <c r="A26" s="3">
        <v>56046</v>
      </c>
      <c r="B26" s="4" t="s">
        <v>1504</v>
      </c>
      <c r="C26" s="4" t="s">
        <v>37</v>
      </c>
      <c r="D26" s="3">
        <v>220</v>
      </c>
      <c r="E26" s="5">
        <v>2289.7600000000002</v>
      </c>
      <c r="F26" s="4" t="s">
        <v>306</v>
      </c>
      <c r="G26" s="4" t="s">
        <v>307</v>
      </c>
      <c r="H26" s="4" t="s">
        <v>2073</v>
      </c>
      <c r="I26" s="4" t="s">
        <v>306</v>
      </c>
      <c r="J26" s="4" t="s">
        <v>2413</v>
      </c>
      <c r="K26" s="4" t="s">
        <v>2405</v>
      </c>
      <c r="L26" s="4" t="s">
        <v>2072</v>
      </c>
      <c r="M26" s="4" t="s">
        <v>0</v>
      </c>
      <c r="N26" s="4" t="s">
        <v>2413</v>
      </c>
      <c r="O26" s="4"/>
      <c r="P26" s="4"/>
      <c r="Q26" s="4"/>
      <c r="R26" s="4"/>
      <c r="S26" s="4"/>
      <c r="T26" s="4"/>
      <c r="U26" s="4"/>
      <c r="V26" s="4" t="s">
        <v>3118</v>
      </c>
      <c r="W26" s="4" t="s">
        <v>3119</v>
      </c>
      <c r="X26" s="3">
        <v>1</v>
      </c>
      <c r="Y26" s="54">
        <v>14</v>
      </c>
      <c r="Z26" s="82">
        <f t="shared" si="0"/>
        <v>2</v>
      </c>
      <c r="AA26" s="57">
        <v>2.85</v>
      </c>
      <c r="AB26" s="81">
        <f t="shared" si="1"/>
        <v>79.8</v>
      </c>
      <c r="AC26" s="55">
        <v>28</v>
      </c>
      <c r="AD26" s="58">
        <v>79.8</v>
      </c>
      <c r="AE26" s="50">
        <v>7</v>
      </c>
      <c r="AF26" s="54"/>
      <c r="AG26" s="82"/>
      <c r="AH26" s="55"/>
      <c r="AI26" s="81">
        <f t="shared" si="3"/>
        <v>0</v>
      </c>
      <c r="AJ26" s="55"/>
      <c r="AK26" s="56"/>
      <c r="AL26" s="50"/>
      <c r="AM26" s="54"/>
      <c r="AN26" s="82"/>
      <c r="AO26" s="55"/>
      <c r="AP26" s="81">
        <f t="shared" si="4"/>
        <v>0</v>
      </c>
      <c r="AQ26" s="55"/>
      <c r="AR26" s="56"/>
      <c r="AS26" s="81">
        <f t="shared" si="5"/>
        <v>79.8</v>
      </c>
      <c r="AT26" s="5">
        <v>79.8</v>
      </c>
      <c r="AU26" s="82" t="b">
        <f t="shared" si="6"/>
        <v>1</v>
      </c>
      <c r="AV26" s="3"/>
      <c r="AW26" s="3"/>
      <c r="AX26" s="3"/>
      <c r="AY26" s="3"/>
      <c r="AZ26" s="3"/>
      <c r="BA26" s="3"/>
      <c r="BB26" s="3"/>
      <c r="BC26" s="3"/>
      <c r="BD26" s="3"/>
      <c r="BE26" s="5">
        <v>137.38999999999999</v>
      </c>
      <c r="BF26" s="5">
        <v>0</v>
      </c>
    </row>
    <row r="27" spans="1:58">
      <c r="A27" s="3">
        <v>56035</v>
      </c>
      <c r="B27" s="4" t="s">
        <v>1505</v>
      </c>
      <c r="C27" s="4" t="s">
        <v>54</v>
      </c>
      <c r="D27" s="3">
        <v>220</v>
      </c>
      <c r="E27" s="5">
        <v>2110.38</v>
      </c>
      <c r="F27" s="4" t="s">
        <v>797</v>
      </c>
      <c r="G27" s="4" t="s">
        <v>798</v>
      </c>
      <c r="H27" s="4" t="s">
        <v>2075</v>
      </c>
      <c r="I27" s="4" t="s">
        <v>797</v>
      </c>
      <c r="J27" s="4" t="s">
        <v>2415</v>
      </c>
      <c r="K27" s="4" t="s">
        <v>2405</v>
      </c>
      <c r="L27" s="4" t="s">
        <v>2072</v>
      </c>
      <c r="M27" s="4" t="s">
        <v>0</v>
      </c>
      <c r="N27" s="4" t="s">
        <v>2413</v>
      </c>
      <c r="O27" s="4"/>
      <c r="P27" s="4"/>
      <c r="Q27" s="4"/>
      <c r="R27" s="4"/>
      <c r="S27" s="4"/>
      <c r="T27" s="4"/>
      <c r="U27" s="4"/>
      <c r="V27" s="4" t="s">
        <v>3118</v>
      </c>
      <c r="W27" s="4" t="s">
        <v>3119</v>
      </c>
      <c r="X27" s="3">
        <v>1</v>
      </c>
      <c r="Y27" s="54"/>
      <c r="Z27" s="82"/>
      <c r="AA27" s="55"/>
      <c r="AB27" s="81">
        <f t="shared" si="1"/>
        <v>0</v>
      </c>
      <c r="AC27" s="55"/>
      <c r="AD27" s="56"/>
      <c r="AE27" s="50"/>
      <c r="AF27" s="54">
        <v>15</v>
      </c>
      <c r="AG27" s="82">
        <f t="shared" si="2"/>
        <v>2</v>
      </c>
      <c r="AH27" s="57">
        <v>3</v>
      </c>
      <c r="AI27" s="81">
        <f t="shared" si="3"/>
        <v>90</v>
      </c>
      <c r="AJ27" s="55">
        <v>30</v>
      </c>
      <c r="AK27" s="58">
        <v>90</v>
      </c>
      <c r="AL27" s="50">
        <v>23</v>
      </c>
      <c r="AM27" s="54"/>
      <c r="AN27" s="82"/>
      <c r="AO27" s="55"/>
      <c r="AP27" s="81">
        <f t="shared" si="4"/>
        <v>0</v>
      </c>
      <c r="AQ27" s="55"/>
      <c r="AR27" s="56"/>
      <c r="AS27" s="81">
        <f t="shared" si="5"/>
        <v>90</v>
      </c>
      <c r="AT27" s="5">
        <v>90</v>
      </c>
      <c r="AU27" s="82" t="b">
        <f t="shared" si="6"/>
        <v>1</v>
      </c>
      <c r="AV27" s="3"/>
      <c r="AW27" s="3"/>
      <c r="AX27" s="3"/>
      <c r="AY27" s="3"/>
      <c r="AZ27" s="3"/>
      <c r="BA27" s="3"/>
      <c r="BB27" s="3"/>
      <c r="BC27" s="3"/>
      <c r="BD27" s="3"/>
      <c r="BE27" s="5">
        <v>126.62</v>
      </c>
      <c r="BF27" s="5">
        <v>0</v>
      </c>
    </row>
    <row r="28" spans="1:58">
      <c r="A28" s="3">
        <v>56016</v>
      </c>
      <c r="B28" s="4" t="s">
        <v>1506</v>
      </c>
      <c r="C28" s="4" t="s">
        <v>38</v>
      </c>
      <c r="D28" s="3">
        <v>220</v>
      </c>
      <c r="E28" s="5">
        <v>2289.7600000000002</v>
      </c>
      <c r="F28" s="4" t="s">
        <v>306</v>
      </c>
      <c r="G28" s="4" t="s">
        <v>307</v>
      </c>
      <c r="H28" s="4" t="s">
        <v>2073</v>
      </c>
      <c r="I28" s="4" t="s">
        <v>306</v>
      </c>
      <c r="J28" s="4" t="s">
        <v>2413</v>
      </c>
      <c r="K28" s="4" t="s">
        <v>2405</v>
      </c>
      <c r="L28" s="4" t="s">
        <v>2072</v>
      </c>
      <c r="M28" s="4" t="s">
        <v>0</v>
      </c>
      <c r="N28" s="4" t="s">
        <v>2413</v>
      </c>
      <c r="O28" s="4"/>
      <c r="P28" s="4"/>
      <c r="Q28" s="4"/>
      <c r="R28" s="4"/>
      <c r="S28" s="4"/>
      <c r="T28" s="4"/>
      <c r="U28" s="4"/>
      <c r="V28" s="4" t="s">
        <v>3118</v>
      </c>
      <c r="W28" s="4" t="s">
        <v>3119</v>
      </c>
      <c r="X28" s="3">
        <v>1</v>
      </c>
      <c r="Y28" s="54">
        <v>20</v>
      </c>
      <c r="Z28" s="82">
        <f t="shared" si="0"/>
        <v>2</v>
      </c>
      <c r="AA28" s="57">
        <v>2.85</v>
      </c>
      <c r="AB28" s="81">
        <f t="shared" si="1"/>
        <v>114</v>
      </c>
      <c r="AC28" s="55">
        <v>40</v>
      </c>
      <c r="AD28" s="58">
        <v>114</v>
      </c>
      <c r="AE28" s="50"/>
      <c r="AF28" s="54">
        <v>20</v>
      </c>
      <c r="AG28" s="82">
        <f t="shared" si="2"/>
        <v>2</v>
      </c>
      <c r="AH28" s="57">
        <v>3</v>
      </c>
      <c r="AI28" s="81">
        <f t="shared" si="3"/>
        <v>120</v>
      </c>
      <c r="AJ28" s="55">
        <v>40</v>
      </c>
      <c r="AK28" s="58">
        <v>120</v>
      </c>
      <c r="AL28" s="50">
        <v>6</v>
      </c>
      <c r="AM28" s="54"/>
      <c r="AN28" s="82"/>
      <c r="AO28" s="55"/>
      <c r="AP28" s="81">
        <f t="shared" si="4"/>
        <v>0</v>
      </c>
      <c r="AQ28" s="55"/>
      <c r="AR28" s="56"/>
      <c r="AS28" s="81">
        <f t="shared" si="5"/>
        <v>234</v>
      </c>
      <c r="AT28" s="5">
        <v>234</v>
      </c>
      <c r="AU28" s="82" t="b">
        <f t="shared" si="6"/>
        <v>1</v>
      </c>
      <c r="AV28" s="3"/>
      <c r="AW28" s="3"/>
      <c r="AX28" s="3"/>
      <c r="AY28" s="3"/>
      <c r="AZ28" s="3"/>
      <c r="BA28" s="3"/>
      <c r="BB28" s="3"/>
      <c r="BC28" s="3"/>
      <c r="BD28" s="3"/>
      <c r="BE28" s="5">
        <v>137.38999999999999</v>
      </c>
      <c r="BF28" s="5">
        <v>96.61</v>
      </c>
    </row>
    <row r="29" spans="1:58">
      <c r="A29" s="3">
        <v>56049</v>
      </c>
      <c r="B29" s="4" t="s">
        <v>1507</v>
      </c>
      <c r="C29" s="4" t="s">
        <v>39</v>
      </c>
      <c r="D29" s="3">
        <v>220</v>
      </c>
      <c r="E29" s="5">
        <v>2289.7600000000002</v>
      </c>
      <c r="F29" s="4" t="s">
        <v>306</v>
      </c>
      <c r="G29" s="4" t="s">
        <v>307</v>
      </c>
      <c r="H29" s="4" t="s">
        <v>2073</v>
      </c>
      <c r="I29" s="4" t="s">
        <v>306</v>
      </c>
      <c r="J29" s="4" t="s">
        <v>2416</v>
      </c>
      <c r="K29" s="4" t="s">
        <v>2405</v>
      </c>
      <c r="L29" s="4" t="s">
        <v>2072</v>
      </c>
      <c r="M29" s="4" t="s">
        <v>0</v>
      </c>
      <c r="N29" s="4" t="s">
        <v>2413</v>
      </c>
      <c r="O29" s="4"/>
      <c r="P29" s="4"/>
      <c r="Q29" s="4"/>
      <c r="R29" s="4"/>
      <c r="S29" s="4"/>
      <c r="T29" s="4"/>
      <c r="U29" s="4"/>
      <c r="V29" s="4" t="s">
        <v>3118</v>
      </c>
      <c r="W29" s="4" t="s">
        <v>3119</v>
      </c>
      <c r="X29" s="3">
        <v>1</v>
      </c>
      <c r="Y29" s="54">
        <v>13</v>
      </c>
      <c r="Z29" s="82">
        <f t="shared" si="0"/>
        <v>2</v>
      </c>
      <c r="AA29" s="57">
        <v>4.28</v>
      </c>
      <c r="AB29" s="81">
        <f t="shared" si="1"/>
        <v>111.28</v>
      </c>
      <c r="AC29" s="55">
        <v>26</v>
      </c>
      <c r="AD29" s="58">
        <v>111.28</v>
      </c>
      <c r="AE29" s="50">
        <v>4</v>
      </c>
      <c r="AF29" s="54"/>
      <c r="AG29" s="82"/>
      <c r="AH29" s="55"/>
      <c r="AI29" s="81">
        <f t="shared" si="3"/>
        <v>0</v>
      </c>
      <c r="AJ29" s="55"/>
      <c r="AK29" s="56"/>
      <c r="AL29" s="50"/>
      <c r="AM29" s="54"/>
      <c r="AN29" s="82"/>
      <c r="AO29" s="55"/>
      <c r="AP29" s="81">
        <f t="shared" si="4"/>
        <v>0</v>
      </c>
      <c r="AQ29" s="55"/>
      <c r="AR29" s="56"/>
      <c r="AS29" s="81">
        <f t="shared" si="5"/>
        <v>111.28</v>
      </c>
      <c r="AT29" s="5">
        <v>111.28</v>
      </c>
      <c r="AU29" s="82" t="b">
        <f t="shared" si="6"/>
        <v>1</v>
      </c>
      <c r="AV29" s="3"/>
      <c r="AW29" s="3"/>
      <c r="AX29" s="3"/>
      <c r="AY29" s="3"/>
      <c r="AZ29" s="3"/>
      <c r="BA29" s="3"/>
      <c r="BB29" s="3"/>
      <c r="BC29" s="3"/>
      <c r="BD29" s="3"/>
      <c r="BE29" s="5">
        <v>137.38999999999999</v>
      </c>
      <c r="BF29" s="5">
        <v>0</v>
      </c>
    </row>
    <row r="30" spans="1:58">
      <c r="A30" s="3">
        <v>56029</v>
      </c>
      <c r="B30" s="4" t="s">
        <v>1510</v>
      </c>
      <c r="C30" s="4" t="s">
        <v>41</v>
      </c>
      <c r="D30" s="3">
        <v>220</v>
      </c>
      <c r="E30" s="5">
        <v>2289.7600000000002</v>
      </c>
      <c r="F30" s="4" t="s">
        <v>3039</v>
      </c>
      <c r="G30" s="4" t="s">
        <v>3040</v>
      </c>
      <c r="H30" s="4" t="s">
        <v>2201</v>
      </c>
      <c r="I30" s="4" t="s">
        <v>3039</v>
      </c>
      <c r="J30" s="4" t="s">
        <v>3041</v>
      </c>
      <c r="K30" s="4" t="s">
        <v>2405</v>
      </c>
      <c r="L30" s="4" t="s">
        <v>2072</v>
      </c>
      <c r="M30" s="4" t="s">
        <v>0</v>
      </c>
      <c r="N30" s="4" t="s">
        <v>2413</v>
      </c>
      <c r="O30" s="4"/>
      <c r="P30" s="4"/>
      <c r="Q30" s="4"/>
      <c r="R30" s="4"/>
      <c r="S30" s="4"/>
      <c r="T30" s="4"/>
      <c r="U30" s="4"/>
      <c r="V30" s="4" t="s">
        <v>3118</v>
      </c>
      <c r="W30" s="4" t="s">
        <v>3119</v>
      </c>
      <c r="X30" s="3">
        <v>1</v>
      </c>
      <c r="Y30" s="54"/>
      <c r="Z30" s="82"/>
      <c r="AA30" s="55"/>
      <c r="AB30" s="81">
        <f t="shared" si="1"/>
        <v>0</v>
      </c>
      <c r="AC30" s="55"/>
      <c r="AD30" s="56"/>
      <c r="AE30" s="50"/>
      <c r="AF30" s="54">
        <v>20</v>
      </c>
      <c r="AG30" s="82">
        <f t="shared" si="2"/>
        <v>2</v>
      </c>
      <c r="AH30" s="57">
        <v>3.7</v>
      </c>
      <c r="AI30" s="81">
        <f t="shared" si="3"/>
        <v>148</v>
      </c>
      <c r="AJ30" s="55">
        <v>40</v>
      </c>
      <c r="AK30" s="58">
        <v>148</v>
      </c>
      <c r="AL30" s="50"/>
      <c r="AM30" s="54"/>
      <c r="AN30" s="82"/>
      <c r="AO30" s="55"/>
      <c r="AP30" s="81">
        <f t="shared" si="4"/>
        <v>0</v>
      </c>
      <c r="AQ30" s="55"/>
      <c r="AR30" s="56"/>
      <c r="AS30" s="81">
        <f t="shared" si="5"/>
        <v>148</v>
      </c>
      <c r="AT30" s="5">
        <v>148</v>
      </c>
      <c r="AU30" s="82" t="b">
        <f t="shared" si="6"/>
        <v>1</v>
      </c>
      <c r="AV30" s="3"/>
      <c r="AW30" s="3"/>
      <c r="AX30" s="3"/>
      <c r="AY30" s="3"/>
      <c r="AZ30" s="3"/>
      <c r="BA30" s="3"/>
      <c r="BB30" s="3"/>
      <c r="BC30" s="3"/>
      <c r="BD30" s="3"/>
      <c r="BE30" s="5">
        <v>137.38999999999999</v>
      </c>
      <c r="BF30" s="5">
        <v>10.61</v>
      </c>
    </row>
    <row r="31" spans="1:58">
      <c r="A31" s="3">
        <v>56027</v>
      </c>
      <c r="B31" s="4" t="s">
        <v>1511</v>
      </c>
      <c r="C31" s="4" t="s">
        <v>42</v>
      </c>
      <c r="D31" s="3">
        <v>220</v>
      </c>
      <c r="E31" s="5">
        <v>2289.7600000000002</v>
      </c>
      <c r="F31" s="4" t="s">
        <v>306</v>
      </c>
      <c r="G31" s="4" t="s">
        <v>307</v>
      </c>
      <c r="H31" s="4" t="s">
        <v>2073</v>
      </c>
      <c r="I31" s="4" t="s">
        <v>306</v>
      </c>
      <c r="J31" s="4" t="s">
        <v>2414</v>
      </c>
      <c r="K31" s="4" t="s">
        <v>2405</v>
      </c>
      <c r="L31" s="4" t="s">
        <v>2072</v>
      </c>
      <c r="M31" s="4" t="s">
        <v>0</v>
      </c>
      <c r="N31" s="4" t="s">
        <v>2413</v>
      </c>
      <c r="O31" s="4"/>
      <c r="P31" s="4"/>
      <c r="Q31" s="4"/>
      <c r="R31" s="4"/>
      <c r="S31" s="4"/>
      <c r="T31" s="4"/>
      <c r="U31" s="4"/>
      <c r="V31" s="4" t="s">
        <v>3118</v>
      </c>
      <c r="W31" s="4" t="s">
        <v>3119</v>
      </c>
      <c r="X31" s="3">
        <v>1</v>
      </c>
      <c r="Y31" s="54">
        <v>15</v>
      </c>
      <c r="Z31" s="82">
        <f t="shared" si="0"/>
        <v>2</v>
      </c>
      <c r="AA31" s="57">
        <v>4.28</v>
      </c>
      <c r="AB31" s="81">
        <f t="shared" si="1"/>
        <v>128.4</v>
      </c>
      <c r="AC31" s="55">
        <v>30</v>
      </c>
      <c r="AD31" s="58">
        <v>128.4</v>
      </c>
      <c r="AE31" s="50">
        <v>10</v>
      </c>
      <c r="AF31" s="54"/>
      <c r="AG31" s="82"/>
      <c r="AH31" s="55"/>
      <c r="AI31" s="81">
        <f t="shared" si="3"/>
        <v>0</v>
      </c>
      <c r="AJ31" s="55"/>
      <c r="AK31" s="56"/>
      <c r="AL31" s="50"/>
      <c r="AM31" s="54"/>
      <c r="AN31" s="82"/>
      <c r="AO31" s="55"/>
      <c r="AP31" s="81">
        <f t="shared" si="4"/>
        <v>0</v>
      </c>
      <c r="AQ31" s="55"/>
      <c r="AR31" s="56"/>
      <c r="AS31" s="81">
        <f t="shared" si="5"/>
        <v>128.4</v>
      </c>
      <c r="AT31" s="5">
        <v>128.4</v>
      </c>
      <c r="AU31" s="82" t="b">
        <f t="shared" si="6"/>
        <v>1</v>
      </c>
      <c r="AV31" s="3"/>
      <c r="AW31" s="3"/>
      <c r="AX31" s="3"/>
      <c r="AY31" s="3"/>
      <c r="AZ31" s="3"/>
      <c r="BA31" s="3"/>
      <c r="BB31" s="3"/>
      <c r="BC31" s="3"/>
      <c r="BD31" s="3"/>
      <c r="BE31" s="5">
        <v>137.38999999999999</v>
      </c>
      <c r="BF31" s="5">
        <v>0</v>
      </c>
    </row>
    <row r="32" spans="1:58">
      <c r="A32" s="3">
        <v>56025</v>
      </c>
      <c r="B32" s="4" t="s">
        <v>1512</v>
      </c>
      <c r="C32" s="4" t="s">
        <v>43</v>
      </c>
      <c r="D32" s="3">
        <v>220</v>
      </c>
      <c r="E32" s="5">
        <v>2289.7600000000002</v>
      </c>
      <c r="F32" s="4" t="s">
        <v>306</v>
      </c>
      <c r="G32" s="4" t="s">
        <v>307</v>
      </c>
      <c r="H32" s="4" t="s">
        <v>2073</v>
      </c>
      <c r="I32" s="4" t="s">
        <v>306</v>
      </c>
      <c r="J32" s="4" t="s">
        <v>2413</v>
      </c>
      <c r="K32" s="4" t="s">
        <v>2405</v>
      </c>
      <c r="L32" s="4" t="s">
        <v>2072</v>
      </c>
      <c r="M32" s="4" t="s">
        <v>0</v>
      </c>
      <c r="N32" s="4" t="s">
        <v>2413</v>
      </c>
      <c r="O32" s="4"/>
      <c r="P32" s="4"/>
      <c r="Q32" s="4"/>
      <c r="R32" s="4"/>
      <c r="S32" s="4"/>
      <c r="T32" s="4"/>
      <c r="U32" s="4"/>
      <c r="V32" s="4" t="s">
        <v>3118</v>
      </c>
      <c r="W32" s="4" t="s">
        <v>3119</v>
      </c>
      <c r="X32" s="3">
        <v>1</v>
      </c>
      <c r="Y32" s="54">
        <v>20</v>
      </c>
      <c r="Z32" s="82">
        <f t="shared" si="0"/>
        <v>1</v>
      </c>
      <c r="AA32" s="57">
        <v>7.5</v>
      </c>
      <c r="AB32" s="81">
        <f t="shared" si="1"/>
        <v>150</v>
      </c>
      <c r="AC32" s="55">
        <v>20</v>
      </c>
      <c r="AD32" s="58">
        <v>150</v>
      </c>
      <c r="AE32" s="50"/>
      <c r="AF32" s="54">
        <v>11</v>
      </c>
      <c r="AG32" s="82">
        <f t="shared" si="2"/>
        <v>2</v>
      </c>
      <c r="AH32" s="57">
        <v>6.45</v>
      </c>
      <c r="AI32" s="81">
        <f t="shared" si="3"/>
        <v>141.9</v>
      </c>
      <c r="AJ32" s="55">
        <v>22</v>
      </c>
      <c r="AK32" s="58">
        <v>141.9</v>
      </c>
      <c r="AL32" s="50">
        <v>11</v>
      </c>
      <c r="AM32" s="54"/>
      <c r="AN32" s="82"/>
      <c r="AO32" s="55"/>
      <c r="AP32" s="81">
        <f t="shared" si="4"/>
        <v>0</v>
      </c>
      <c r="AQ32" s="55"/>
      <c r="AR32" s="56"/>
      <c r="AS32" s="81">
        <f t="shared" si="5"/>
        <v>291.89999999999998</v>
      </c>
      <c r="AT32" s="5">
        <v>291.89999999999998</v>
      </c>
      <c r="AU32" s="82" t="b">
        <f t="shared" si="6"/>
        <v>1</v>
      </c>
      <c r="AV32" s="3"/>
      <c r="AW32" s="3"/>
      <c r="AX32" s="3"/>
      <c r="AY32" s="3"/>
      <c r="AZ32" s="3"/>
      <c r="BA32" s="3"/>
      <c r="BB32" s="3"/>
      <c r="BC32" s="3"/>
      <c r="BD32" s="3"/>
      <c r="BE32" s="5">
        <v>137.38999999999999</v>
      </c>
      <c r="BF32" s="5">
        <v>154.51</v>
      </c>
    </row>
    <row r="33" spans="1:58">
      <c r="A33" s="3">
        <v>66267</v>
      </c>
      <c r="B33" s="4" t="s">
        <v>1514</v>
      </c>
      <c r="C33" s="4" t="s">
        <v>1322</v>
      </c>
      <c r="D33" s="3">
        <v>220</v>
      </c>
      <c r="E33" s="5">
        <v>2289.7600000000002</v>
      </c>
      <c r="F33" s="4" t="s">
        <v>306</v>
      </c>
      <c r="G33" s="4" t="s">
        <v>307</v>
      </c>
      <c r="H33" s="4" t="s">
        <v>2073</v>
      </c>
      <c r="I33" s="4" t="s">
        <v>306</v>
      </c>
      <c r="J33" s="4" t="s">
        <v>2422</v>
      </c>
      <c r="K33" s="4" t="s">
        <v>2405</v>
      </c>
      <c r="L33" s="4" t="s">
        <v>2081</v>
      </c>
      <c r="M33" s="4" t="s">
        <v>0</v>
      </c>
      <c r="N33" s="4" t="s">
        <v>2422</v>
      </c>
      <c r="O33" s="4"/>
      <c r="P33" s="4"/>
      <c r="Q33" s="4"/>
      <c r="R33" s="4"/>
      <c r="S33" s="4"/>
      <c r="T33" s="4" t="s">
        <v>3120</v>
      </c>
      <c r="U33" s="4"/>
      <c r="V33" s="4" t="s">
        <v>3118</v>
      </c>
      <c r="W33" s="4" t="s">
        <v>3119</v>
      </c>
      <c r="X33" s="3">
        <v>1</v>
      </c>
      <c r="Y33" s="54">
        <v>20</v>
      </c>
      <c r="Z33" s="82">
        <f t="shared" si="0"/>
        <v>2</v>
      </c>
      <c r="AA33" s="57">
        <v>2.85</v>
      </c>
      <c r="AB33" s="81">
        <f t="shared" si="1"/>
        <v>114</v>
      </c>
      <c r="AC33" s="55">
        <v>40</v>
      </c>
      <c r="AD33" s="58">
        <v>114</v>
      </c>
      <c r="AE33" s="50"/>
      <c r="AF33" s="54"/>
      <c r="AG33" s="82"/>
      <c r="AH33" s="55"/>
      <c r="AI33" s="81">
        <f t="shared" si="3"/>
        <v>0</v>
      </c>
      <c r="AJ33" s="55"/>
      <c r="AK33" s="56"/>
      <c r="AL33" s="50"/>
      <c r="AM33" s="54"/>
      <c r="AN33" s="82"/>
      <c r="AO33" s="55"/>
      <c r="AP33" s="81">
        <f t="shared" si="4"/>
        <v>0</v>
      </c>
      <c r="AQ33" s="55"/>
      <c r="AR33" s="56"/>
      <c r="AS33" s="81">
        <f t="shared" si="5"/>
        <v>114</v>
      </c>
      <c r="AT33" s="5">
        <v>114</v>
      </c>
      <c r="AU33" s="82" t="b">
        <f t="shared" si="6"/>
        <v>1</v>
      </c>
      <c r="AV33" s="3"/>
      <c r="AW33" s="3"/>
      <c r="AX33" s="3"/>
      <c r="AY33" s="3"/>
      <c r="AZ33" s="3"/>
      <c r="BA33" s="3"/>
      <c r="BB33" s="3"/>
      <c r="BC33" s="3"/>
      <c r="BD33" s="3"/>
      <c r="BE33" s="5">
        <v>137.38999999999999</v>
      </c>
      <c r="BF33" s="5">
        <v>0</v>
      </c>
    </row>
  </sheetData>
  <autoFilter ref="A1:BN33"/>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
  <dimension ref="A1:J871"/>
  <sheetViews>
    <sheetView workbookViewId="0">
      <pane ySplit="1" topLeftCell="A236" activePane="bottomLeft" state="frozen"/>
      <selection pane="bottomLeft" activeCell="C249" sqref="C249"/>
    </sheetView>
  </sheetViews>
  <sheetFormatPr defaultRowHeight="12"/>
  <cols>
    <col min="1" max="1" width="5.28515625" style="9" bestFit="1" customWidth="1"/>
    <col min="2" max="2" width="5.85546875" style="9" bestFit="1" customWidth="1"/>
    <col min="3" max="3" width="40.85546875" style="9" bestFit="1" customWidth="1"/>
    <col min="4" max="4" width="9.28515625" style="9" hidden="1" customWidth="1"/>
    <col min="5" max="5" width="7.140625" style="9" hidden="1" customWidth="1"/>
    <col min="6" max="6" width="34.5703125" style="9" hidden="1" customWidth="1"/>
    <col min="7" max="7" width="2.140625" style="9" hidden="1" customWidth="1"/>
    <col min="8" max="8" width="17.5703125" style="9" hidden="1" customWidth="1"/>
    <col min="9" max="9" width="6.5703125" style="9" customWidth="1"/>
    <col min="10" max="10" width="22.5703125" style="9" bestFit="1" customWidth="1"/>
    <col min="11" max="16384" width="9.140625" style="9"/>
  </cols>
  <sheetData>
    <row r="1" spans="1:10" s="13" customFormat="1">
      <c r="A1" s="12" t="s">
        <v>2880</v>
      </c>
      <c r="B1" s="12" t="s">
        <v>45</v>
      </c>
      <c r="C1" s="12" t="s">
        <v>2881</v>
      </c>
      <c r="D1" s="12" t="s">
        <v>2882</v>
      </c>
      <c r="E1" s="12" t="s">
        <v>1272</v>
      </c>
      <c r="F1" s="12" t="s">
        <v>1</v>
      </c>
      <c r="G1" s="12" t="s">
        <v>2883</v>
      </c>
      <c r="H1" s="13" t="s">
        <v>2884</v>
      </c>
      <c r="I1" s="13" t="s">
        <v>2885</v>
      </c>
      <c r="J1" s="13" t="s">
        <v>2886</v>
      </c>
    </row>
    <row r="2" spans="1:10">
      <c r="A2" s="8">
        <v>58786</v>
      </c>
      <c r="B2" s="10" t="s">
        <v>1331</v>
      </c>
      <c r="C2" s="11" t="s">
        <v>119</v>
      </c>
      <c r="D2" s="11" t="s">
        <v>2887</v>
      </c>
      <c r="E2" s="11">
        <v>737.88</v>
      </c>
      <c r="F2" s="11" t="s">
        <v>122</v>
      </c>
      <c r="G2" s="11" t="s">
        <v>2072</v>
      </c>
      <c r="H2" s="9" t="s">
        <v>120</v>
      </c>
      <c r="I2" s="9" t="s">
        <v>121</v>
      </c>
      <c r="J2" s="9" t="s">
        <v>2090</v>
      </c>
    </row>
    <row r="3" spans="1:10">
      <c r="A3" s="8">
        <v>44856</v>
      </c>
      <c r="B3" s="10" t="s">
        <v>127</v>
      </c>
      <c r="C3" s="11" t="s">
        <v>128</v>
      </c>
      <c r="D3" s="11" t="s">
        <v>2613</v>
      </c>
      <c r="E3" s="11">
        <v>737.88</v>
      </c>
      <c r="F3" s="11" t="s">
        <v>129</v>
      </c>
      <c r="G3" s="11" t="s">
        <v>2072</v>
      </c>
      <c r="H3" s="9" t="s">
        <v>115</v>
      </c>
      <c r="I3" s="9" t="s">
        <v>116</v>
      </c>
      <c r="J3" s="9" t="s">
        <v>2073</v>
      </c>
    </row>
    <row r="4" spans="1:10">
      <c r="A4" s="8">
        <v>45385</v>
      </c>
      <c r="B4" s="10" t="s">
        <v>1332</v>
      </c>
      <c r="C4" s="11" t="s">
        <v>130</v>
      </c>
      <c r="D4" s="11" t="s">
        <v>2616</v>
      </c>
      <c r="E4" s="11">
        <v>822.96</v>
      </c>
      <c r="F4" s="11" t="s">
        <v>133</v>
      </c>
      <c r="G4" s="11" t="s">
        <v>2072</v>
      </c>
      <c r="H4" s="9" t="s">
        <v>131</v>
      </c>
      <c r="I4" s="9" t="s">
        <v>132</v>
      </c>
      <c r="J4" s="9" t="s">
        <v>2073</v>
      </c>
    </row>
    <row r="5" spans="1:10">
      <c r="A5" s="8">
        <v>37421</v>
      </c>
      <c r="B5" s="10" t="s">
        <v>1333</v>
      </c>
      <c r="C5" s="11" t="s">
        <v>134</v>
      </c>
      <c r="D5" s="11" t="s">
        <v>2888</v>
      </c>
      <c r="E5" s="11">
        <v>878.5</v>
      </c>
      <c r="F5" s="11" t="s">
        <v>113</v>
      </c>
      <c r="G5" s="11" t="s">
        <v>2072</v>
      </c>
      <c r="H5" s="9" t="s">
        <v>135</v>
      </c>
      <c r="I5" s="9" t="s">
        <v>84</v>
      </c>
      <c r="J5" s="9" t="s">
        <v>2104</v>
      </c>
    </row>
    <row r="6" spans="1:10">
      <c r="A6" s="8">
        <v>59393</v>
      </c>
      <c r="B6" s="10" t="s">
        <v>1334</v>
      </c>
      <c r="C6" s="11" t="s">
        <v>140</v>
      </c>
      <c r="D6" s="11" t="s">
        <v>2415</v>
      </c>
      <c r="E6" s="11">
        <v>737.88</v>
      </c>
      <c r="F6" s="11" t="s">
        <v>129</v>
      </c>
      <c r="G6" s="11" t="s">
        <v>2074</v>
      </c>
      <c r="H6" s="9" t="s">
        <v>115</v>
      </c>
      <c r="I6" s="9" t="s">
        <v>116</v>
      </c>
      <c r="J6" s="9" t="s">
        <v>2073</v>
      </c>
    </row>
    <row r="7" spans="1:10">
      <c r="A7" s="8">
        <v>4131</v>
      </c>
      <c r="B7" s="10" t="s">
        <v>1335</v>
      </c>
      <c r="C7" s="11" t="s">
        <v>141</v>
      </c>
      <c r="D7" s="11" t="s">
        <v>2451</v>
      </c>
      <c r="E7" s="11">
        <v>955.15</v>
      </c>
      <c r="F7" s="11" t="s">
        <v>113</v>
      </c>
      <c r="G7" s="11" t="s">
        <v>2072</v>
      </c>
      <c r="H7" s="9" t="s">
        <v>142</v>
      </c>
      <c r="I7" s="9" t="s">
        <v>143</v>
      </c>
      <c r="J7" s="9" t="s">
        <v>2073</v>
      </c>
    </row>
    <row r="8" spans="1:10">
      <c r="A8" s="8">
        <v>4188</v>
      </c>
      <c r="B8" s="10" t="s">
        <v>144</v>
      </c>
      <c r="C8" s="11" t="s">
        <v>145</v>
      </c>
      <c r="D8" s="11" t="s">
        <v>2451</v>
      </c>
      <c r="E8" s="11">
        <v>1150.67</v>
      </c>
      <c r="F8" s="11" t="s">
        <v>147</v>
      </c>
      <c r="G8" s="11" t="s">
        <v>2072</v>
      </c>
      <c r="H8" s="9" t="s">
        <v>146</v>
      </c>
      <c r="I8" s="9" t="s">
        <v>4</v>
      </c>
      <c r="J8" s="9" t="s">
        <v>2073</v>
      </c>
    </row>
    <row r="9" spans="1:10">
      <c r="A9" s="8">
        <v>54225</v>
      </c>
      <c r="B9" s="10" t="s">
        <v>148</v>
      </c>
      <c r="C9" s="11" t="s">
        <v>149</v>
      </c>
      <c r="D9" s="11" t="s">
        <v>2889</v>
      </c>
      <c r="E9" s="11">
        <v>178.57</v>
      </c>
      <c r="F9" s="11" t="s">
        <v>129</v>
      </c>
      <c r="G9" s="11" t="s">
        <v>2072</v>
      </c>
      <c r="H9" s="9" t="s">
        <v>150</v>
      </c>
      <c r="I9" s="9" t="s">
        <v>151</v>
      </c>
      <c r="J9" s="9" t="s">
        <v>2135</v>
      </c>
    </row>
    <row r="10" spans="1:10">
      <c r="A10" s="8">
        <v>59226</v>
      </c>
      <c r="B10" s="10" t="s">
        <v>1336</v>
      </c>
      <c r="C10" s="11" t="s">
        <v>152</v>
      </c>
      <c r="D10" s="11" t="s">
        <v>2769</v>
      </c>
      <c r="E10" s="11">
        <v>822.96</v>
      </c>
      <c r="F10" s="11" t="s">
        <v>133</v>
      </c>
      <c r="G10" s="11" t="s">
        <v>2072</v>
      </c>
      <c r="H10" s="9" t="s">
        <v>366</v>
      </c>
      <c r="I10" s="9" t="s">
        <v>367</v>
      </c>
      <c r="J10" s="9" t="s">
        <v>2073</v>
      </c>
    </row>
    <row r="11" spans="1:10">
      <c r="A11" s="8">
        <v>65266</v>
      </c>
      <c r="B11" s="10" t="s">
        <v>1337</v>
      </c>
      <c r="C11" s="11" t="s">
        <v>156</v>
      </c>
      <c r="D11" s="11" t="s">
        <v>2831</v>
      </c>
      <c r="E11" s="11">
        <v>737.88</v>
      </c>
      <c r="F11" s="11" t="s">
        <v>129</v>
      </c>
      <c r="G11" s="11" t="s">
        <v>2072</v>
      </c>
      <c r="H11" s="9" t="s">
        <v>146</v>
      </c>
      <c r="I11" s="9" t="s">
        <v>4</v>
      </c>
      <c r="J11" s="9" t="s">
        <v>2073</v>
      </c>
    </row>
    <row r="12" spans="1:10">
      <c r="A12" s="8">
        <v>17572</v>
      </c>
      <c r="B12" s="10" t="s">
        <v>157</v>
      </c>
      <c r="C12" s="11" t="s">
        <v>158</v>
      </c>
      <c r="D12" s="11" t="s">
        <v>2502</v>
      </c>
      <c r="E12" s="11">
        <v>1520.04</v>
      </c>
      <c r="F12" s="11" t="s">
        <v>155</v>
      </c>
      <c r="G12" s="11" t="s">
        <v>2072</v>
      </c>
      <c r="H12" s="9" t="s">
        <v>115</v>
      </c>
      <c r="I12" s="9" t="s">
        <v>116</v>
      </c>
      <c r="J12" s="9" t="s">
        <v>2073</v>
      </c>
    </row>
    <row r="13" spans="1:10">
      <c r="A13" s="8">
        <v>60610</v>
      </c>
      <c r="B13" s="10" t="s">
        <v>1338</v>
      </c>
      <c r="C13" s="11" t="s">
        <v>160</v>
      </c>
      <c r="D13" s="11" t="s">
        <v>2673</v>
      </c>
      <c r="E13" s="11">
        <v>584.37</v>
      </c>
      <c r="F13" s="11" t="s">
        <v>129</v>
      </c>
      <c r="G13" s="11" t="s">
        <v>2072</v>
      </c>
      <c r="H13" s="9" t="s">
        <v>161</v>
      </c>
      <c r="I13" s="9" t="s">
        <v>162</v>
      </c>
      <c r="J13" s="9" t="s">
        <v>2156</v>
      </c>
    </row>
    <row r="14" spans="1:10">
      <c r="A14" s="8">
        <v>20361</v>
      </c>
      <c r="B14" s="10" t="s">
        <v>1339</v>
      </c>
      <c r="C14" s="11" t="s">
        <v>163</v>
      </c>
      <c r="D14" s="11" t="s">
        <v>2510</v>
      </c>
      <c r="E14" s="11">
        <v>808.05</v>
      </c>
      <c r="F14" s="11" t="s">
        <v>166</v>
      </c>
      <c r="G14" s="11" t="s">
        <v>2072</v>
      </c>
      <c r="H14" s="9" t="s">
        <v>164</v>
      </c>
      <c r="I14" s="9" t="s">
        <v>165</v>
      </c>
      <c r="J14" s="9" t="s">
        <v>2073</v>
      </c>
    </row>
    <row r="15" spans="1:10">
      <c r="A15" s="8">
        <v>53712</v>
      </c>
      <c r="B15" s="10" t="s">
        <v>1340</v>
      </c>
      <c r="C15" s="11" t="s">
        <v>168</v>
      </c>
      <c r="D15" s="11" t="s">
        <v>2890</v>
      </c>
      <c r="E15" s="11">
        <v>955.14</v>
      </c>
      <c r="F15" s="11" t="s">
        <v>113</v>
      </c>
      <c r="G15" s="11" t="s">
        <v>2072</v>
      </c>
      <c r="H15" s="9" t="s">
        <v>169</v>
      </c>
      <c r="I15" s="9" t="s">
        <v>66</v>
      </c>
      <c r="J15" s="9" t="s">
        <v>2088</v>
      </c>
    </row>
    <row r="16" spans="1:10">
      <c r="A16" s="8">
        <v>37551</v>
      </c>
      <c r="B16" s="10" t="s">
        <v>170</v>
      </c>
      <c r="C16" s="11" t="s">
        <v>171</v>
      </c>
      <c r="D16" s="11" t="s">
        <v>2584</v>
      </c>
      <c r="E16" s="11">
        <v>878.5</v>
      </c>
      <c r="F16" s="11" t="s">
        <v>113</v>
      </c>
      <c r="G16" s="11" t="s">
        <v>2074</v>
      </c>
      <c r="H16" s="9" t="s">
        <v>172</v>
      </c>
      <c r="I16" s="9" t="s">
        <v>173</v>
      </c>
      <c r="J16" s="9" t="s">
        <v>2111</v>
      </c>
    </row>
    <row r="17" spans="1:10">
      <c r="A17" s="8">
        <v>58202</v>
      </c>
      <c r="B17" s="10" t="s">
        <v>1341</v>
      </c>
      <c r="C17" s="11" t="s">
        <v>174</v>
      </c>
      <c r="D17" s="11" t="s">
        <v>2753</v>
      </c>
      <c r="E17" s="11">
        <v>1648.29</v>
      </c>
      <c r="F17" s="11" t="s">
        <v>458</v>
      </c>
      <c r="G17" s="11" t="s">
        <v>2072</v>
      </c>
      <c r="H17" s="9" t="s">
        <v>153</v>
      </c>
      <c r="I17" s="9" t="s">
        <v>154</v>
      </c>
      <c r="J17" s="9" t="s">
        <v>2073</v>
      </c>
    </row>
    <row r="18" spans="1:10">
      <c r="A18" s="8">
        <v>30739</v>
      </c>
      <c r="B18" s="10" t="s">
        <v>175</v>
      </c>
      <c r="C18" s="11" t="s">
        <v>176</v>
      </c>
      <c r="D18" s="11" t="s">
        <v>2891</v>
      </c>
      <c r="E18" s="11">
        <v>878.5</v>
      </c>
      <c r="F18" s="11" t="s">
        <v>113</v>
      </c>
      <c r="G18" s="11" t="s">
        <v>2072</v>
      </c>
      <c r="H18" s="9" t="s">
        <v>135</v>
      </c>
      <c r="I18" s="9" t="s">
        <v>84</v>
      </c>
      <c r="J18" s="9" t="s">
        <v>2104</v>
      </c>
    </row>
    <row r="19" spans="1:10">
      <c r="A19" s="8">
        <v>46820</v>
      </c>
      <c r="B19" s="10" t="s">
        <v>1342</v>
      </c>
      <c r="C19" s="11" t="s">
        <v>177</v>
      </c>
      <c r="D19" s="11" t="s">
        <v>2621</v>
      </c>
      <c r="E19" s="11">
        <v>955.15</v>
      </c>
      <c r="F19" s="11" t="s">
        <v>113</v>
      </c>
      <c r="G19" s="11" t="s">
        <v>2074</v>
      </c>
      <c r="H19" s="9" t="s">
        <v>178</v>
      </c>
      <c r="I19" s="9" t="s">
        <v>179</v>
      </c>
      <c r="J19" s="9" t="s">
        <v>2073</v>
      </c>
    </row>
    <row r="20" spans="1:10">
      <c r="A20" s="8">
        <v>43685</v>
      </c>
      <c r="B20" s="10" t="s">
        <v>1343</v>
      </c>
      <c r="C20" s="11" t="s">
        <v>180</v>
      </c>
      <c r="D20" s="11" t="s">
        <v>2892</v>
      </c>
      <c r="E20" s="11">
        <v>878.5</v>
      </c>
      <c r="F20" s="11" t="s">
        <v>113</v>
      </c>
      <c r="G20" s="11" t="s">
        <v>2072</v>
      </c>
      <c r="H20" s="9" t="s">
        <v>181</v>
      </c>
      <c r="I20" s="9" t="s">
        <v>182</v>
      </c>
      <c r="J20" s="9" t="s">
        <v>2109</v>
      </c>
    </row>
    <row r="21" spans="1:10">
      <c r="A21" s="8">
        <v>9053</v>
      </c>
      <c r="B21" s="10" t="s">
        <v>1344</v>
      </c>
      <c r="C21" s="11" t="s">
        <v>184</v>
      </c>
      <c r="D21" s="11" t="s">
        <v>2480</v>
      </c>
      <c r="E21" s="11">
        <v>955.15</v>
      </c>
      <c r="F21" s="11" t="s">
        <v>113</v>
      </c>
      <c r="G21" s="11" t="s">
        <v>2072</v>
      </c>
      <c r="H21" s="9" t="s">
        <v>131</v>
      </c>
      <c r="I21" s="9" t="s">
        <v>132</v>
      </c>
      <c r="J21" s="9" t="s">
        <v>2073</v>
      </c>
    </row>
    <row r="22" spans="1:10">
      <c r="A22" s="8">
        <v>56181</v>
      </c>
      <c r="B22" s="10" t="s">
        <v>187</v>
      </c>
      <c r="C22" s="11" t="s">
        <v>83</v>
      </c>
      <c r="D22" s="11" t="s">
        <v>2413</v>
      </c>
      <c r="E22" s="11">
        <v>2110.38</v>
      </c>
      <c r="F22" s="11" t="s">
        <v>0</v>
      </c>
      <c r="G22" s="11" t="s">
        <v>2072</v>
      </c>
      <c r="H22" s="9" t="s">
        <v>189</v>
      </c>
      <c r="I22" s="9" t="s">
        <v>190</v>
      </c>
      <c r="J22" s="9" t="s">
        <v>2104</v>
      </c>
    </row>
    <row r="23" spans="1:10">
      <c r="A23" s="8">
        <v>68624</v>
      </c>
      <c r="B23" s="10" t="s">
        <v>2309</v>
      </c>
      <c r="C23" s="11" t="s">
        <v>2310</v>
      </c>
      <c r="D23" s="11" t="s">
        <v>2876</v>
      </c>
      <c r="E23" s="11">
        <v>878.5</v>
      </c>
      <c r="F23" s="11" t="s">
        <v>113</v>
      </c>
      <c r="G23" s="11" t="s">
        <v>2072</v>
      </c>
      <c r="H23" s="9" t="s">
        <v>357</v>
      </c>
      <c r="I23" s="9" t="s">
        <v>358</v>
      </c>
      <c r="J23" s="9" t="s">
        <v>2126</v>
      </c>
    </row>
    <row r="24" spans="1:10">
      <c r="A24" s="8">
        <v>64336</v>
      </c>
      <c r="B24" s="10" t="s">
        <v>1562</v>
      </c>
      <c r="C24" s="11" t="s">
        <v>1225</v>
      </c>
      <c r="D24" s="11" t="s">
        <v>2821</v>
      </c>
      <c r="E24" s="11">
        <v>737.88</v>
      </c>
      <c r="F24" s="11" t="s">
        <v>129</v>
      </c>
      <c r="G24" s="11" t="s">
        <v>2072</v>
      </c>
      <c r="H24" s="9" t="s">
        <v>115</v>
      </c>
      <c r="I24" s="9" t="s">
        <v>116</v>
      </c>
      <c r="J24" s="9" t="s">
        <v>2073</v>
      </c>
    </row>
    <row r="25" spans="1:10">
      <c r="A25" s="8">
        <v>37247</v>
      </c>
      <c r="B25" s="10" t="s">
        <v>191</v>
      </c>
      <c r="C25" s="11" t="s">
        <v>192</v>
      </c>
      <c r="D25" s="11" t="s">
        <v>2893</v>
      </c>
      <c r="E25" s="11">
        <v>584.38</v>
      </c>
      <c r="F25" s="11" t="s">
        <v>129</v>
      </c>
      <c r="G25" s="11" t="s">
        <v>2072</v>
      </c>
      <c r="H25" s="9" t="s">
        <v>136</v>
      </c>
      <c r="I25" s="9" t="s">
        <v>137</v>
      </c>
      <c r="J25" s="9" t="s">
        <v>2108</v>
      </c>
    </row>
    <row r="26" spans="1:10">
      <c r="A26" s="8">
        <v>54990</v>
      </c>
      <c r="B26" s="10" t="s">
        <v>1563</v>
      </c>
      <c r="C26" s="11" t="s">
        <v>196</v>
      </c>
      <c r="D26" s="11" t="s">
        <v>2894</v>
      </c>
      <c r="E26" s="11">
        <v>878.5</v>
      </c>
      <c r="F26" s="11" t="s">
        <v>113</v>
      </c>
      <c r="G26" s="11" t="s">
        <v>2072</v>
      </c>
      <c r="H26" s="9" t="s">
        <v>197</v>
      </c>
      <c r="I26" s="9" t="s">
        <v>198</v>
      </c>
      <c r="J26" s="9" t="s">
        <v>2128</v>
      </c>
    </row>
    <row r="27" spans="1:10">
      <c r="A27" s="8">
        <v>50677</v>
      </c>
      <c r="B27" s="10" t="s">
        <v>199</v>
      </c>
      <c r="C27" s="11" t="s">
        <v>200</v>
      </c>
      <c r="D27" s="11" t="s">
        <v>2657</v>
      </c>
      <c r="E27" s="11">
        <v>1093.3699999999999</v>
      </c>
      <c r="F27" s="11" t="s">
        <v>117</v>
      </c>
      <c r="G27" s="11" t="s">
        <v>2072</v>
      </c>
      <c r="H27" s="9" t="s">
        <v>146</v>
      </c>
      <c r="I27" s="9" t="s">
        <v>4</v>
      </c>
      <c r="J27" s="9" t="s">
        <v>2073</v>
      </c>
    </row>
    <row r="28" spans="1:10">
      <c r="A28" s="8">
        <v>68770</v>
      </c>
      <c r="B28" s="10" t="s">
        <v>2311</v>
      </c>
      <c r="C28" s="11" t="s">
        <v>1226</v>
      </c>
      <c r="D28" s="11" t="s">
        <v>2452</v>
      </c>
      <c r="E28" s="11">
        <v>357.13</v>
      </c>
      <c r="F28" s="11" t="s">
        <v>129</v>
      </c>
      <c r="G28" s="11" t="s">
        <v>2085</v>
      </c>
      <c r="H28" s="9" t="s">
        <v>523</v>
      </c>
      <c r="I28" s="9" t="s">
        <v>524</v>
      </c>
      <c r="J28" s="9" t="s">
        <v>2129</v>
      </c>
    </row>
    <row r="29" spans="1:10">
      <c r="A29" s="8">
        <v>44841</v>
      </c>
      <c r="B29" s="10" t="s">
        <v>1564</v>
      </c>
      <c r="C29" s="11" t="s">
        <v>204</v>
      </c>
      <c r="D29" s="11" t="s">
        <v>2612</v>
      </c>
      <c r="E29" s="11">
        <v>1102.2</v>
      </c>
      <c r="F29" s="11" t="s">
        <v>205</v>
      </c>
      <c r="G29" s="11" t="s">
        <v>2072</v>
      </c>
      <c r="H29" s="9" t="s">
        <v>115</v>
      </c>
      <c r="I29" s="9" t="s">
        <v>116</v>
      </c>
      <c r="J29" s="9" t="s">
        <v>2073</v>
      </c>
    </row>
    <row r="30" spans="1:10">
      <c r="A30" s="8">
        <v>35598</v>
      </c>
      <c r="B30" s="10" t="s">
        <v>206</v>
      </c>
      <c r="C30" s="11" t="s">
        <v>207</v>
      </c>
      <c r="D30" s="11" t="s">
        <v>2578</v>
      </c>
      <c r="E30" s="11">
        <v>878.5</v>
      </c>
      <c r="F30" s="11" t="s">
        <v>113</v>
      </c>
      <c r="G30" s="11" t="s">
        <v>2072</v>
      </c>
      <c r="H30" s="9" t="s">
        <v>208</v>
      </c>
      <c r="I30" s="9" t="s">
        <v>209</v>
      </c>
      <c r="J30" s="9" t="s">
        <v>2570</v>
      </c>
    </row>
    <row r="31" spans="1:10">
      <c r="A31" s="8">
        <v>54819</v>
      </c>
      <c r="B31" s="10" t="s">
        <v>1565</v>
      </c>
      <c r="C31" s="11" t="s">
        <v>210</v>
      </c>
      <c r="D31" s="11" t="s">
        <v>2895</v>
      </c>
      <c r="E31" s="11">
        <v>955.15</v>
      </c>
      <c r="F31" s="11" t="s">
        <v>113</v>
      </c>
      <c r="G31" s="11" t="s">
        <v>2072</v>
      </c>
      <c r="H31" s="9" t="s">
        <v>211</v>
      </c>
      <c r="I31" s="9" t="s">
        <v>93</v>
      </c>
      <c r="J31" s="9" t="s">
        <v>2080</v>
      </c>
    </row>
    <row r="32" spans="1:10">
      <c r="A32" s="8">
        <v>63683</v>
      </c>
      <c r="B32" s="10" t="s">
        <v>1566</v>
      </c>
      <c r="C32" s="11" t="s">
        <v>1216</v>
      </c>
      <c r="D32" s="11" t="s">
        <v>2812</v>
      </c>
      <c r="E32" s="11">
        <v>714.24</v>
      </c>
      <c r="F32" s="11" t="s">
        <v>129</v>
      </c>
      <c r="G32" s="11" t="s">
        <v>2072</v>
      </c>
      <c r="H32" s="9" t="s">
        <v>357</v>
      </c>
      <c r="I32" s="9" t="s">
        <v>358</v>
      </c>
      <c r="J32" s="9" t="s">
        <v>2126</v>
      </c>
    </row>
    <row r="33" spans="1:10">
      <c r="A33" s="8">
        <v>68474</v>
      </c>
      <c r="B33" s="10" t="s">
        <v>2255</v>
      </c>
      <c r="C33" s="11" t="s">
        <v>2256</v>
      </c>
      <c r="D33" s="11" t="s">
        <v>2866</v>
      </c>
      <c r="E33" s="11">
        <v>737.88</v>
      </c>
      <c r="F33" s="11" t="s">
        <v>129</v>
      </c>
      <c r="G33" s="11" t="s">
        <v>2072</v>
      </c>
      <c r="H33" s="9" t="s">
        <v>403</v>
      </c>
      <c r="I33" s="9" t="s">
        <v>404</v>
      </c>
      <c r="J33" s="9" t="s">
        <v>2073</v>
      </c>
    </row>
    <row r="34" spans="1:10">
      <c r="A34" s="8">
        <v>68181</v>
      </c>
      <c r="B34" s="10" t="s">
        <v>2257</v>
      </c>
      <c r="C34" s="11" t="s">
        <v>2258</v>
      </c>
      <c r="D34" s="11" t="s">
        <v>2873</v>
      </c>
      <c r="E34" s="11">
        <v>1228.51</v>
      </c>
      <c r="F34" s="11" t="s">
        <v>415</v>
      </c>
      <c r="G34" s="11" t="s">
        <v>2072</v>
      </c>
      <c r="H34" s="9" t="s">
        <v>146</v>
      </c>
      <c r="I34" s="9" t="s">
        <v>4</v>
      </c>
      <c r="J34" s="9" t="s">
        <v>2073</v>
      </c>
    </row>
    <row r="35" spans="1:10">
      <c r="A35" s="8">
        <v>68757</v>
      </c>
      <c r="B35" s="10" t="s">
        <v>2312</v>
      </c>
      <c r="C35" s="11" t="s">
        <v>2313</v>
      </c>
      <c r="D35" s="11" t="s">
        <v>2672</v>
      </c>
      <c r="E35" s="11">
        <v>737.88</v>
      </c>
      <c r="F35" s="11" t="s">
        <v>420</v>
      </c>
      <c r="G35" s="11" t="s">
        <v>2072</v>
      </c>
      <c r="H35" s="9" t="s">
        <v>146</v>
      </c>
      <c r="I35" s="9" t="s">
        <v>4</v>
      </c>
      <c r="J35" s="9" t="s">
        <v>2073</v>
      </c>
    </row>
    <row r="36" spans="1:10">
      <c r="A36" s="8">
        <v>56138</v>
      </c>
      <c r="B36" s="10" t="s">
        <v>1363</v>
      </c>
      <c r="C36" s="11" t="s">
        <v>89</v>
      </c>
      <c r="D36" s="11" t="s">
        <v>2413</v>
      </c>
      <c r="E36" s="11">
        <v>2110.38</v>
      </c>
      <c r="F36" s="11" t="s">
        <v>0</v>
      </c>
      <c r="G36" s="11" t="s">
        <v>2072</v>
      </c>
      <c r="H36" s="9" t="s">
        <v>216</v>
      </c>
      <c r="I36" s="9" t="s">
        <v>217</v>
      </c>
      <c r="J36" s="9" t="s">
        <v>2076</v>
      </c>
    </row>
    <row r="37" spans="1:10">
      <c r="A37" s="8">
        <v>50778</v>
      </c>
      <c r="B37" s="10" t="s">
        <v>219</v>
      </c>
      <c r="C37" s="11" t="s">
        <v>218</v>
      </c>
      <c r="D37" s="11" t="s">
        <v>2440</v>
      </c>
      <c r="E37" s="11">
        <v>723.21</v>
      </c>
      <c r="F37" s="11" t="s">
        <v>122</v>
      </c>
      <c r="G37" s="11" t="s">
        <v>2072</v>
      </c>
      <c r="H37" s="9" t="s">
        <v>220</v>
      </c>
      <c r="I37" s="9" t="s">
        <v>61</v>
      </c>
      <c r="J37" s="9" t="s">
        <v>2093</v>
      </c>
    </row>
    <row r="38" spans="1:10">
      <c r="A38" s="8">
        <v>67483</v>
      </c>
      <c r="B38" s="10" t="s">
        <v>2203</v>
      </c>
      <c r="C38" s="11" t="s">
        <v>2181</v>
      </c>
      <c r="D38" s="11" t="s">
        <v>2857</v>
      </c>
      <c r="E38" s="11">
        <v>1520.04</v>
      </c>
      <c r="F38" s="11" t="s">
        <v>155</v>
      </c>
      <c r="G38" s="11" t="s">
        <v>2072</v>
      </c>
      <c r="H38" s="9" t="s">
        <v>243</v>
      </c>
      <c r="I38" s="9" t="s">
        <v>244</v>
      </c>
      <c r="J38" s="9" t="s">
        <v>2073</v>
      </c>
    </row>
    <row r="39" spans="1:10">
      <c r="A39" s="8">
        <v>58594</v>
      </c>
      <c r="B39" s="10" t="s">
        <v>1567</v>
      </c>
      <c r="C39" s="11" t="s">
        <v>223</v>
      </c>
      <c r="D39" s="11" t="s">
        <v>2761</v>
      </c>
      <c r="E39" s="11">
        <v>1093.3699999999999</v>
      </c>
      <c r="F39" s="11" t="s">
        <v>117</v>
      </c>
      <c r="G39" s="11" t="s">
        <v>2072</v>
      </c>
      <c r="H39" s="9" t="s">
        <v>146</v>
      </c>
      <c r="I39" s="9" t="s">
        <v>4</v>
      </c>
      <c r="J39" s="9" t="s">
        <v>2073</v>
      </c>
    </row>
    <row r="40" spans="1:10">
      <c r="A40" s="8">
        <v>32523</v>
      </c>
      <c r="B40" s="10" t="s">
        <v>1568</v>
      </c>
      <c r="C40" s="11" t="s">
        <v>224</v>
      </c>
      <c r="D40" s="11" t="s">
        <v>2559</v>
      </c>
      <c r="E40" s="11">
        <v>955.15</v>
      </c>
      <c r="F40" s="11" t="s">
        <v>113</v>
      </c>
      <c r="G40" s="11" t="s">
        <v>2072</v>
      </c>
      <c r="H40" s="9" t="s">
        <v>225</v>
      </c>
      <c r="I40" s="9" t="s">
        <v>226</v>
      </c>
      <c r="J40" s="9" t="s">
        <v>2073</v>
      </c>
    </row>
    <row r="41" spans="1:10">
      <c r="A41" s="8">
        <v>50838</v>
      </c>
      <c r="B41" s="10" t="s">
        <v>228</v>
      </c>
      <c r="C41" s="11" t="s">
        <v>229</v>
      </c>
      <c r="D41" s="11" t="s">
        <v>2661</v>
      </c>
      <c r="E41" s="11">
        <v>714.24</v>
      </c>
      <c r="F41" s="11" t="s">
        <v>129</v>
      </c>
      <c r="G41" s="11" t="s">
        <v>2072</v>
      </c>
      <c r="H41" s="9" t="s">
        <v>230</v>
      </c>
      <c r="I41" s="9" t="s">
        <v>82</v>
      </c>
      <c r="J41" s="9" t="s">
        <v>2137</v>
      </c>
    </row>
    <row r="42" spans="1:10">
      <c r="A42" s="8">
        <v>67660</v>
      </c>
      <c r="B42" s="10" t="s">
        <v>2204</v>
      </c>
      <c r="C42" s="11" t="s">
        <v>2187</v>
      </c>
      <c r="D42" s="11" t="s">
        <v>2716</v>
      </c>
      <c r="E42" s="11">
        <v>486.98</v>
      </c>
      <c r="F42" s="11" t="s">
        <v>129</v>
      </c>
      <c r="G42" s="11" t="s">
        <v>2072</v>
      </c>
      <c r="H42" s="9" t="s">
        <v>2188</v>
      </c>
      <c r="I42" s="9" t="s">
        <v>2189</v>
      </c>
      <c r="J42" s="9" t="s">
        <v>2896</v>
      </c>
    </row>
    <row r="43" spans="1:10">
      <c r="A43" s="8">
        <v>37780</v>
      </c>
      <c r="B43" s="10" t="s">
        <v>232</v>
      </c>
      <c r="C43" s="11" t="s">
        <v>233</v>
      </c>
      <c r="D43" s="11" t="s">
        <v>2586</v>
      </c>
      <c r="E43" s="11">
        <v>1520.04</v>
      </c>
      <c r="F43" s="11" t="s">
        <v>155</v>
      </c>
      <c r="G43" s="11" t="s">
        <v>2072</v>
      </c>
      <c r="H43" s="9" t="s">
        <v>234</v>
      </c>
      <c r="I43" s="9" t="s">
        <v>235</v>
      </c>
      <c r="J43" s="9" t="s">
        <v>2073</v>
      </c>
    </row>
    <row r="44" spans="1:10">
      <c r="A44" s="8">
        <v>23871</v>
      </c>
      <c r="B44" s="10" t="s">
        <v>1569</v>
      </c>
      <c r="C44" s="11" t="s">
        <v>236</v>
      </c>
      <c r="D44" s="11" t="s">
        <v>2530</v>
      </c>
      <c r="E44" s="11">
        <v>1520.04</v>
      </c>
      <c r="F44" s="11" t="s">
        <v>155</v>
      </c>
      <c r="G44" s="11" t="s">
        <v>2072</v>
      </c>
      <c r="H44" s="9" t="s">
        <v>212</v>
      </c>
      <c r="I44" s="9" t="s">
        <v>213</v>
      </c>
      <c r="J44" s="9" t="s">
        <v>2073</v>
      </c>
    </row>
    <row r="45" spans="1:10">
      <c r="A45" s="8">
        <v>66175</v>
      </c>
      <c r="B45" s="10" t="s">
        <v>1570</v>
      </c>
      <c r="C45" s="11" t="s">
        <v>1305</v>
      </c>
      <c r="D45" s="11" t="s">
        <v>2842</v>
      </c>
      <c r="E45" s="11">
        <v>584.37</v>
      </c>
      <c r="F45" s="11" t="s">
        <v>129</v>
      </c>
      <c r="G45" s="11" t="s">
        <v>2072</v>
      </c>
      <c r="H45" s="9" t="s">
        <v>172</v>
      </c>
      <c r="I45" s="9" t="s">
        <v>173</v>
      </c>
      <c r="J45" s="9" t="s">
        <v>2111</v>
      </c>
    </row>
    <row r="46" spans="1:10">
      <c r="A46" s="8">
        <v>50822</v>
      </c>
      <c r="B46" s="10" t="s">
        <v>1571</v>
      </c>
      <c r="C46" s="11" t="s">
        <v>240</v>
      </c>
      <c r="D46" s="11" t="s">
        <v>2440</v>
      </c>
      <c r="E46" s="11">
        <v>878.5</v>
      </c>
      <c r="F46" s="11" t="s">
        <v>113</v>
      </c>
      <c r="G46" s="11" t="s">
        <v>2072</v>
      </c>
      <c r="H46" s="9" t="s">
        <v>230</v>
      </c>
      <c r="I46" s="9" t="s">
        <v>82</v>
      </c>
      <c r="J46" s="9" t="s">
        <v>2137</v>
      </c>
    </row>
    <row r="47" spans="1:10">
      <c r="A47" s="8">
        <v>67991</v>
      </c>
      <c r="B47" s="10" t="s">
        <v>2205</v>
      </c>
      <c r="C47" s="11" t="s">
        <v>2206</v>
      </c>
      <c r="D47" s="11" t="s">
        <v>2869</v>
      </c>
      <c r="E47" s="11">
        <v>2110.38</v>
      </c>
      <c r="F47" s="11" t="s">
        <v>0</v>
      </c>
      <c r="G47" s="11" t="s">
        <v>2072</v>
      </c>
      <c r="H47" s="9" t="s">
        <v>234</v>
      </c>
      <c r="I47" s="9" t="s">
        <v>235</v>
      </c>
      <c r="J47" s="9" t="s">
        <v>2073</v>
      </c>
    </row>
    <row r="48" spans="1:10">
      <c r="A48" s="8">
        <v>37348</v>
      </c>
      <c r="B48" s="10" t="s">
        <v>138</v>
      </c>
      <c r="C48" s="11" t="s">
        <v>241</v>
      </c>
      <c r="D48" s="11" t="s">
        <v>2897</v>
      </c>
      <c r="E48" s="11">
        <v>878.5</v>
      </c>
      <c r="F48" s="11" t="s">
        <v>113</v>
      </c>
      <c r="G48" s="11" t="s">
        <v>2072</v>
      </c>
      <c r="H48" s="9" t="s">
        <v>136</v>
      </c>
      <c r="I48" s="9" t="s">
        <v>137</v>
      </c>
      <c r="J48" s="9" t="s">
        <v>2108</v>
      </c>
    </row>
    <row r="49" spans="1:10">
      <c r="A49" s="8">
        <v>59096</v>
      </c>
      <c r="B49" s="10" t="s">
        <v>1572</v>
      </c>
      <c r="C49" s="11" t="s">
        <v>242</v>
      </c>
      <c r="D49" s="11" t="s">
        <v>2767</v>
      </c>
      <c r="E49" s="11">
        <v>368.97</v>
      </c>
      <c r="F49" s="11" t="s">
        <v>129</v>
      </c>
      <c r="G49" s="11" t="s">
        <v>2072</v>
      </c>
      <c r="H49" s="9" t="s">
        <v>243</v>
      </c>
      <c r="I49" s="9" t="s">
        <v>244</v>
      </c>
      <c r="J49" s="9" t="s">
        <v>2073</v>
      </c>
    </row>
    <row r="50" spans="1:10">
      <c r="A50" s="8">
        <v>55105</v>
      </c>
      <c r="B50" s="10" t="s">
        <v>1573</v>
      </c>
      <c r="C50" s="11" t="s">
        <v>245</v>
      </c>
      <c r="D50" s="11" t="s">
        <v>2724</v>
      </c>
      <c r="E50" s="11">
        <v>368.94</v>
      </c>
      <c r="F50" s="11" t="s">
        <v>129</v>
      </c>
      <c r="G50" s="11" t="s">
        <v>2072</v>
      </c>
      <c r="H50" s="9" t="s">
        <v>186</v>
      </c>
      <c r="I50" s="9" t="s">
        <v>81</v>
      </c>
      <c r="J50" s="9" t="s">
        <v>2078</v>
      </c>
    </row>
    <row r="51" spans="1:10">
      <c r="A51" s="8">
        <v>17646</v>
      </c>
      <c r="B51" s="10" t="s">
        <v>246</v>
      </c>
      <c r="C51" s="11" t="s">
        <v>247</v>
      </c>
      <c r="D51" s="11" t="s">
        <v>2503</v>
      </c>
      <c r="E51" s="11">
        <v>1520.04</v>
      </c>
      <c r="F51" s="11" t="s">
        <v>155</v>
      </c>
      <c r="G51" s="11" t="s">
        <v>2072</v>
      </c>
      <c r="H51" s="9" t="s">
        <v>248</v>
      </c>
      <c r="I51" s="9" t="s">
        <v>249</v>
      </c>
      <c r="J51" s="9" t="s">
        <v>2073</v>
      </c>
    </row>
    <row r="52" spans="1:10">
      <c r="A52" s="8">
        <v>58047</v>
      </c>
      <c r="B52" s="10" t="s">
        <v>1574</v>
      </c>
      <c r="C52" s="11" t="s">
        <v>251</v>
      </c>
      <c r="D52" s="11" t="s">
        <v>2492</v>
      </c>
      <c r="E52" s="11">
        <v>714.24</v>
      </c>
      <c r="F52" s="11" t="s">
        <v>122</v>
      </c>
      <c r="G52" s="11" t="s">
        <v>2072</v>
      </c>
      <c r="H52" s="9" t="s">
        <v>230</v>
      </c>
      <c r="I52" s="9" t="s">
        <v>82</v>
      </c>
      <c r="J52" s="9" t="s">
        <v>2137</v>
      </c>
    </row>
    <row r="53" spans="1:10">
      <c r="A53" s="8">
        <v>8946</v>
      </c>
      <c r="B53" s="10" t="s">
        <v>1575</v>
      </c>
      <c r="C53" s="11" t="s">
        <v>252</v>
      </c>
      <c r="D53" s="11" t="s">
        <v>2479</v>
      </c>
      <c r="E53" s="11">
        <v>1520.04</v>
      </c>
      <c r="F53" s="11" t="s">
        <v>155</v>
      </c>
      <c r="G53" s="11" t="s">
        <v>2072</v>
      </c>
      <c r="H53" s="9" t="s">
        <v>115</v>
      </c>
      <c r="I53" s="9" t="s">
        <v>116</v>
      </c>
      <c r="J53" s="9" t="s">
        <v>2073</v>
      </c>
    </row>
    <row r="54" spans="1:10">
      <c r="A54" s="8">
        <v>67662</v>
      </c>
      <c r="B54" s="10" t="s">
        <v>2207</v>
      </c>
      <c r="C54" s="11" t="s">
        <v>256</v>
      </c>
      <c r="D54" s="11" t="s">
        <v>2716</v>
      </c>
      <c r="E54" s="11">
        <v>737.88</v>
      </c>
      <c r="F54" s="11" t="s">
        <v>129</v>
      </c>
      <c r="G54" s="11" t="s">
        <v>2085</v>
      </c>
      <c r="H54" s="9" t="s">
        <v>169</v>
      </c>
      <c r="I54" s="9" t="s">
        <v>66</v>
      </c>
      <c r="J54" s="9" t="s">
        <v>2088</v>
      </c>
    </row>
    <row r="55" spans="1:10">
      <c r="A55" s="8">
        <v>18491</v>
      </c>
      <c r="B55" s="10" t="s">
        <v>1576</v>
      </c>
      <c r="C55" s="11" t="s">
        <v>259</v>
      </c>
      <c r="D55" s="11" t="s">
        <v>2504</v>
      </c>
      <c r="E55" s="11">
        <v>737.88</v>
      </c>
      <c r="F55" s="11" t="s">
        <v>129</v>
      </c>
      <c r="G55" s="11" t="s">
        <v>2072</v>
      </c>
      <c r="H55" s="9" t="s">
        <v>115</v>
      </c>
      <c r="I55" s="9" t="s">
        <v>116</v>
      </c>
      <c r="J55" s="9" t="s">
        <v>2073</v>
      </c>
    </row>
    <row r="56" spans="1:10">
      <c r="A56" s="8">
        <v>22971</v>
      </c>
      <c r="B56" s="10" t="s">
        <v>260</v>
      </c>
      <c r="C56" s="11" t="s">
        <v>261</v>
      </c>
      <c r="D56" s="11" t="s">
        <v>2898</v>
      </c>
      <c r="E56" s="11">
        <v>737.88</v>
      </c>
      <c r="F56" s="11" t="s">
        <v>129</v>
      </c>
      <c r="G56" s="11" t="s">
        <v>2072</v>
      </c>
      <c r="H56" s="9" t="s">
        <v>120</v>
      </c>
      <c r="I56" s="9" t="s">
        <v>121</v>
      </c>
      <c r="J56" s="9" t="s">
        <v>2090</v>
      </c>
    </row>
    <row r="57" spans="1:10">
      <c r="A57" s="8">
        <v>67786</v>
      </c>
      <c r="B57" s="10" t="s">
        <v>2208</v>
      </c>
      <c r="C57" s="11" t="s">
        <v>2209</v>
      </c>
      <c r="D57" s="11" t="s">
        <v>2716</v>
      </c>
      <c r="E57" s="11">
        <v>714.24</v>
      </c>
      <c r="F57" s="11" t="s">
        <v>129</v>
      </c>
      <c r="G57" s="11" t="s">
        <v>2072</v>
      </c>
      <c r="H57" s="9" t="s">
        <v>466</v>
      </c>
      <c r="I57" s="9" t="s">
        <v>467</v>
      </c>
      <c r="J57" s="9" t="s">
        <v>2115</v>
      </c>
    </row>
    <row r="58" spans="1:10">
      <c r="A58" s="8">
        <v>4059</v>
      </c>
      <c r="B58" s="10" t="s">
        <v>1577</v>
      </c>
      <c r="C58" s="11" t="s">
        <v>262</v>
      </c>
      <c r="D58" s="11" t="s">
        <v>2451</v>
      </c>
      <c r="E58" s="11">
        <v>1520.04</v>
      </c>
      <c r="F58" s="11" t="s">
        <v>155</v>
      </c>
      <c r="G58" s="11" t="s">
        <v>2074</v>
      </c>
      <c r="H58" s="9" t="s">
        <v>115</v>
      </c>
      <c r="I58" s="9" t="s">
        <v>116</v>
      </c>
      <c r="J58" s="9" t="s">
        <v>2073</v>
      </c>
    </row>
    <row r="59" spans="1:10">
      <c r="A59" s="8">
        <v>56269</v>
      </c>
      <c r="B59" s="10" t="s">
        <v>1578</v>
      </c>
      <c r="C59" s="11" t="s">
        <v>263</v>
      </c>
      <c r="D59" s="11" t="s">
        <v>2736</v>
      </c>
      <c r="E59" s="11">
        <v>737.88</v>
      </c>
      <c r="F59" s="11" t="s">
        <v>122</v>
      </c>
      <c r="G59" s="11" t="s">
        <v>2085</v>
      </c>
      <c r="H59" s="9" t="s">
        <v>115</v>
      </c>
      <c r="I59" s="9" t="s">
        <v>116</v>
      </c>
      <c r="J59" s="9" t="s">
        <v>2073</v>
      </c>
    </row>
    <row r="60" spans="1:10">
      <c r="A60" s="8">
        <v>35351</v>
      </c>
      <c r="B60" s="10" t="s">
        <v>1579</v>
      </c>
      <c r="C60" s="11" t="s">
        <v>264</v>
      </c>
      <c r="D60" s="11" t="s">
        <v>2576</v>
      </c>
      <c r="E60" s="11">
        <v>737.88</v>
      </c>
      <c r="F60" s="11" t="s">
        <v>122</v>
      </c>
      <c r="G60" s="11" t="s">
        <v>2072</v>
      </c>
      <c r="H60" s="9" t="s">
        <v>115</v>
      </c>
      <c r="I60" s="9" t="s">
        <v>116</v>
      </c>
      <c r="J60" s="9" t="s">
        <v>2073</v>
      </c>
    </row>
    <row r="61" spans="1:10">
      <c r="A61" s="8">
        <v>31697</v>
      </c>
      <c r="B61" s="10" t="s">
        <v>1580</v>
      </c>
      <c r="C61" s="11" t="s">
        <v>266</v>
      </c>
      <c r="D61" s="11" t="s">
        <v>2553</v>
      </c>
      <c r="E61" s="11">
        <v>1520.04</v>
      </c>
      <c r="F61" s="11" t="s">
        <v>155</v>
      </c>
      <c r="G61" s="11" t="s">
        <v>2072</v>
      </c>
      <c r="H61" s="9" t="s">
        <v>115</v>
      </c>
      <c r="I61" s="9" t="s">
        <v>116</v>
      </c>
      <c r="J61" s="9" t="s">
        <v>2073</v>
      </c>
    </row>
    <row r="62" spans="1:10">
      <c r="A62" s="8">
        <v>37633</v>
      </c>
      <c r="B62" s="10" t="s">
        <v>267</v>
      </c>
      <c r="C62" s="11" t="s">
        <v>268</v>
      </c>
      <c r="D62" s="11" t="s">
        <v>2585</v>
      </c>
      <c r="E62" s="11">
        <v>584.38</v>
      </c>
      <c r="F62" s="11" t="s">
        <v>129</v>
      </c>
      <c r="G62" s="11" t="s">
        <v>2072</v>
      </c>
      <c r="H62" s="9" t="s">
        <v>135</v>
      </c>
      <c r="I62" s="9" t="s">
        <v>84</v>
      </c>
      <c r="J62" s="9" t="s">
        <v>2104</v>
      </c>
    </row>
    <row r="63" spans="1:10">
      <c r="A63" s="8">
        <v>66204</v>
      </c>
      <c r="B63" s="10" t="s">
        <v>1581</v>
      </c>
      <c r="C63" s="11" t="s">
        <v>1306</v>
      </c>
      <c r="D63" s="11" t="s">
        <v>2844</v>
      </c>
      <c r="E63" s="11">
        <v>822.96</v>
      </c>
      <c r="F63" s="11" t="s">
        <v>133</v>
      </c>
      <c r="G63" s="11" t="s">
        <v>2072</v>
      </c>
      <c r="H63" s="9" t="s">
        <v>250</v>
      </c>
      <c r="I63" s="9" t="s">
        <v>90</v>
      </c>
      <c r="J63" s="9" t="s">
        <v>2076</v>
      </c>
    </row>
    <row r="64" spans="1:10">
      <c r="A64" s="8">
        <v>61599</v>
      </c>
      <c r="B64" s="10" t="s">
        <v>1367</v>
      </c>
      <c r="C64" s="11" t="s">
        <v>1188</v>
      </c>
      <c r="D64" s="11" t="s">
        <v>2637</v>
      </c>
      <c r="E64" s="11">
        <v>2110.38</v>
      </c>
      <c r="F64" s="11" t="s">
        <v>0</v>
      </c>
      <c r="G64" s="11" t="s">
        <v>2072</v>
      </c>
      <c r="H64" s="9" t="s">
        <v>1189</v>
      </c>
      <c r="I64" s="9" t="s">
        <v>1190</v>
      </c>
      <c r="J64" s="9" t="s">
        <v>2144</v>
      </c>
    </row>
    <row r="65" spans="1:10">
      <c r="A65" s="8">
        <v>58993</v>
      </c>
      <c r="B65" s="10" t="s">
        <v>1582</v>
      </c>
      <c r="C65" s="11" t="s">
        <v>269</v>
      </c>
      <c r="D65" s="11" t="s">
        <v>2607</v>
      </c>
      <c r="E65" s="11">
        <v>955.14</v>
      </c>
      <c r="F65" s="11" t="s">
        <v>113</v>
      </c>
      <c r="G65" s="11" t="s">
        <v>2072</v>
      </c>
      <c r="H65" s="9" t="s">
        <v>270</v>
      </c>
      <c r="I65" s="9" t="s">
        <v>70</v>
      </c>
      <c r="J65" s="9" t="s">
        <v>2084</v>
      </c>
    </row>
    <row r="66" spans="1:10">
      <c r="A66" s="8">
        <v>4868</v>
      </c>
      <c r="B66" s="10" t="s">
        <v>1583</v>
      </c>
      <c r="C66" s="11" t="s">
        <v>271</v>
      </c>
      <c r="D66" s="11" t="s">
        <v>2457</v>
      </c>
      <c r="E66" s="11">
        <v>1093.3699999999999</v>
      </c>
      <c r="F66" s="11" t="s">
        <v>117</v>
      </c>
      <c r="G66" s="11" t="s">
        <v>2074</v>
      </c>
      <c r="H66" s="9" t="s">
        <v>146</v>
      </c>
      <c r="I66" s="9" t="s">
        <v>4</v>
      </c>
      <c r="J66" s="9" t="s">
        <v>2073</v>
      </c>
    </row>
    <row r="67" spans="1:10">
      <c r="A67" s="8">
        <v>61592</v>
      </c>
      <c r="B67" s="10" t="s">
        <v>1584</v>
      </c>
      <c r="C67" s="11" t="s">
        <v>272</v>
      </c>
      <c r="D67" s="11" t="s">
        <v>2799</v>
      </c>
      <c r="E67" s="11">
        <v>1039.17</v>
      </c>
      <c r="F67" s="11" t="s">
        <v>481</v>
      </c>
      <c r="G67" s="11" t="s">
        <v>2072</v>
      </c>
      <c r="H67" s="9" t="s">
        <v>115</v>
      </c>
      <c r="I67" s="9" t="s">
        <v>116</v>
      </c>
      <c r="J67" s="9" t="s">
        <v>2073</v>
      </c>
    </row>
    <row r="68" spans="1:10">
      <c r="A68" s="8">
        <v>52484</v>
      </c>
      <c r="B68" s="10" t="s">
        <v>1585</v>
      </c>
      <c r="C68" s="11" t="s">
        <v>273</v>
      </c>
      <c r="D68" s="11" t="s">
        <v>2899</v>
      </c>
      <c r="E68" s="11">
        <v>955.15</v>
      </c>
      <c r="F68" s="11" t="s">
        <v>113</v>
      </c>
      <c r="G68" s="11" t="s">
        <v>2072</v>
      </c>
      <c r="H68" s="9" t="s">
        <v>270</v>
      </c>
      <c r="I68" s="9" t="s">
        <v>70</v>
      </c>
      <c r="J68" s="9" t="s">
        <v>2084</v>
      </c>
    </row>
    <row r="69" spans="1:10">
      <c r="A69" s="8">
        <v>54406</v>
      </c>
      <c r="B69" s="10" t="s">
        <v>1586</v>
      </c>
      <c r="C69" s="11" t="s">
        <v>274</v>
      </c>
      <c r="D69" s="11" t="s">
        <v>2712</v>
      </c>
      <c r="E69" s="11">
        <v>737.88</v>
      </c>
      <c r="F69" s="11" t="s">
        <v>122</v>
      </c>
      <c r="G69" s="11" t="s">
        <v>2072</v>
      </c>
      <c r="H69" s="9" t="s">
        <v>131</v>
      </c>
      <c r="I69" s="9" t="s">
        <v>132</v>
      </c>
      <c r="J69" s="9" t="s">
        <v>2073</v>
      </c>
    </row>
    <row r="70" spans="1:10">
      <c r="A70" s="8">
        <v>56723</v>
      </c>
      <c r="B70" s="10" t="s">
        <v>275</v>
      </c>
      <c r="C70" s="11" t="s">
        <v>276</v>
      </c>
      <c r="D70" s="11" t="s">
        <v>2740</v>
      </c>
      <c r="E70" s="11">
        <v>822.96</v>
      </c>
      <c r="F70" s="11" t="s">
        <v>133</v>
      </c>
      <c r="G70" s="11" t="s">
        <v>2074</v>
      </c>
      <c r="H70" s="9" t="s">
        <v>277</v>
      </c>
      <c r="I70" s="9" t="s">
        <v>53</v>
      </c>
      <c r="J70" s="9" t="s">
        <v>2075</v>
      </c>
    </row>
    <row r="71" spans="1:10">
      <c r="A71" s="8">
        <v>4080</v>
      </c>
      <c r="B71" s="10" t="s">
        <v>1587</v>
      </c>
      <c r="C71" s="11" t="s">
        <v>279</v>
      </c>
      <c r="D71" s="11" t="s">
        <v>2451</v>
      </c>
      <c r="E71" s="11">
        <v>1140.71</v>
      </c>
      <c r="F71" s="11" t="s">
        <v>203</v>
      </c>
      <c r="G71" s="11" t="s">
        <v>2072</v>
      </c>
      <c r="H71" s="9" t="s">
        <v>212</v>
      </c>
      <c r="I71" s="9" t="s">
        <v>213</v>
      </c>
      <c r="J71" s="9" t="s">
        <v>2073</v>
      </c>
    </row>
    <row r="72" spans="1:10">
      <c r="A72" s="8">
        <v>52057</v>
      </c>
      <c r="B72" s="10" t="s">
        <v>1588</v>
      </c>
      <c r="C72" s="11" t="s">
        <v>280</v>
      </c>
      <c r="D72" s="11" t="s">
        <v>2525</v>
      </c>
      <c r="E72" s="11">
        <v>1036.3900000000001</v>
      </c>
      <c r="F72" s="11" t="s">
        <v>155</v>
      </c>
      <c r="G72" s="11" t="s">
        <v>2072</v>
      </c>
      <c r="H72" s="9" t="s">
        <v>366</v>
      </c>
      <c r="I72" s="9" t="s">
        <v>367</v>
      </c>
      <c r="J72" s="9" t="s">
        <v>2073</v>
      </c>
    </row>
    <row r="73" spans="1:10">
      <c r="A73" s="8">
        <v>64077</v>
      </c>
      <c r="B73" s="10" t="s">
        <v>1589</v>
      </c>
      <c r="C73" s="11" t="s">
        <v>1227</v>
      </c>
      <c r="D73" s="11" t="s">
        <v>2818</v>
      </c>
      <c r="E73" s="11">
        <v>1520.04</v>
      </c>
      <c r="F73" s="11" t="s">
        <v>155</v>
      </c>
      <c r="G73" s="11" t="s">
        <v>2072</v>
      </c>
      <c r="H73" s="9" t="s">
        <v>164</v>
      </c>
      <c r="I73" s="9" t="s">
        <v>165</v>
      </c>
      <c r="J73" s="9" t="s">
        <v>2073</v>
      </c>
    </row>
    <row r="74" spans="1:10">
      <c r="A74" s="8">
        <v>52633</v>
      </c>
      <c r="B74" s="10" t="s">
        <v>1590</v>
      </c>
      <c r="C74" s="11" t="s">
        <v>281</v>
      </c>
      <c r="D74" s="11" t="s">
        <v>2685</v>
      </c>
      <c r="E74" s="11">
        <v>1520.04</v>
      </c>
      <c r="F74" s="11" t="s">
        <v>155</v>
      </c>
      <c r="G74" s="11" t="s">
        <v>2072</v>
      </c>
      <c r="H74" s="9" t="s">
        <v>248</v>
      </c>
      <c r="I74" s="9" t="s">
        <v>249</v>
      </c>
      <c r="J74" s="9" t="s">
        <v>2073</v>
      </c>
    </row>
    <row r="75" spans="1:10">
      <c r="A75" s="8">
        <v>35469</v>
      </c>
      <c r="B75" s="10" t="s">
        <v>283</v>
      </c>
      <c r="C75" s="11" t="s">
        <v>284</v>
      </c>
      <c r="D75" s="11" t="s">
        <v>2578</v>
      </c>
      <c r="E75" s="11">
        <v>584.37</v>
      </c>
      <c r="F75" s="11" t="s">
        <v>129</v>
      </c>
      <c r="G75" s="11" t="s">
        <v>2072</v>
      </c>
      <c r="H75" s="9" t="s">
        <v>285</v>
      </c>
      <c r="I75" s="9" t="s">
        <v>286</v>
      </c>
      <c r="J75" s="9" t="s">
        <v>2107</v>
      </c>
    </row>
    <row r="76" spans="1:10">
      <c r="A76" s="8">
        <v>61668</v>
      </c>
      <c r="B76" s="10" t="s">
        <v>1191</v>
      </c>
      <c r="C76" s="11" t="s">
        <v>1184</v>
      </c>
      <c r="D76" s="11" t="s">
        <v>2800</v>
      </c>
      <c r="E76" s="11">
        <v>737.88</v>
      </c>
      <c r="F76" s="11" t="s">
        <v>129</v>
      </c>
      <c r="G76" s="11" t="s">
        <v>2072</v>
      </c>
      <c r="H76" s="9" t="s">
        <v>366</v>
      </c>
      <c r="I76" s="9" t="s">
        <v>367</v>
      </c>
      <c r="J76" s="9" t="s">
        <v>2073</v>
      </c>
    </row>
    <row r="77" spans="1:10">
      <c r="A77" s="8">
        <v>66804</v>
      </c>
      <c r="B77" s="10" t="s">
        <v>1591</v>
      </c>
      <c r="C77" s="11" t="s">
        <v>287</v>
      </c>
      <c r="D77" s="11" t="s">
        <v>2850</v>
      </c>
      <c r="E77" s="11">
        <v>1093.3699999999999</v>
      </c>
      <c r="F77" s="11" t="s">
        <v>117</v>
      </c>
      <c r="G77" s="11" t="s">
        <v>2072</v>
      </c>
      <c r="H77" s="9" t="s">
        <v>146</v>
      </c>
      <c r="I77" s="9" t="s">
        <v>4</v>
      </c>
      <c r="J77" s="9" t="s">
        <v>2073</v>
      </c>
    </row>
    <row r="78" spans="1:10">
      <c r="A78" s="8">
        <v>52241</v>
      </c>
      <c r="B78" s="10" t="s">
        <v>1592</v>
      </c>
      <c r="C78" s="11" t="s">
        <v>289</v>
      </c>
      <c r="D78" s="11" t="s">
        <v>2681</v>
      </c>
      <c r="E78" s="11">
        <v>1520.05</v>
      </c>
      <c r="F78" s="11" t="s">
        <v>155</v>
      </c>
      <c r="G78" s="11" t="s">
        <v>2085</v>
      </c>
      <c r="H78" s="9" t="s">
        <v>146</v>
      </c>
      <c r="I78" s="9" t="s">
        <v>4</v>
      </c>
      <c r="J78" s="9" t="s">
        <v>2073</v>
      </c>
    </row>
    <row r="79" spans="1:10">
      <c r="A79" s="8">
        <v>51378</v>
      </c>
      <c r="B79" s="10" t="s">
        <v>290</v>
      </c>
      <c r="C79" s="11" t="s">
        <v>291</v>
      </c>
      <c r="D79" s="11" t="s">
        <v>2668</v>
      </c>
      <c r="E79" s="11">
        <v>178.57</v>
      </c>
      <c r="F79" s="11" t="s">
        <v>111</v>
      </c>
      <c r="G79" s="11" t="s">
        <v>2072</v>
      </c>
      <c r="H79" s="9" t="s">
        <v>292</v>
      </c>
      <c r="I79" s="9" t="s">
        <v>293</v>
      </c>
      <c r="J79" s="9" t="s">
        <v>2667</v>
      </c>
    </row>
    <row r="80" spans="1:10">
      <c r="A80" s="8">
        <v>32474</v>
      </c>
      <c r="B80" s="10" t="s">
        <v>295</v>
      </c>
      <c r="C80" s="11" t="s">
        <v>294</v>
      </c>
      <c r="D80" s="11" t="s">
        <v>2900</v>
      </c>
      <c r="E80" s="11">
        <v>1140.71</v>
      </c>
      <c r="F80" s="11" t="s">
        <v>203</v>
      </c>
      <c r="G80" s="11" t="s">
        <v>2072</v>
      </c>
      <c r="H80" s="9" t="s">
        <v>211</v>
      </c>
      <c r="I80" s="9" t="s">
        <v>93</v>
      </c>
      <c r="J80" s="9" t="s">
        <v>2080</v>
      </c>
    </row>
    <row r="81" spans="1:10">
      <c r="A81" s="8">
        <v>56326</v>
      </c>
      <c r="B81" s="10" t="s">
        <v>1593</v>
      </c>
      <c r="C81" s="11" t="s">
        <v>296</v>
      </c>
      <c r="D81" s="11" t="s">
        <v>2737</v>
      </c>
      <c r="E81" s="11">
        <v>737.88</v>
      </c>
      <c r="F81" s="11" t="s">
        <v>129</v>
      </c>
      <c r="G81" s="11" t="s">
        <v>2072</v>
      </c>
      <c r="H81" s="9" t="s">
        <v>277</v>
      </c>
      <c r="I81" s="9" t="s">
        <v>53</v>
      </c>
      <c r="J81" s="9" t="s">
        <v>2075</v>
      </c>
    </row>
    <row r="82" spans="1:10">
      <c r="A82" s="8">
        <v>68698</v>
      </c>
      <c r="B82" s="10" t="s">
        <v>2314</v>
      </c>
      <c r="C82" s="11" t="s">
        <v>2315</v>
      </c>
      <c r="D82" s="11" t="s">
        <v>2879</v>
      </c>
      <c r="E82" s="11">
        <v>737.88</v>
      </c>
      <c r="F82" s="11" t="s">
        <v>129</v>
      </c>
      <c r="G82" s="11" t="s">
        <v>2072</v>
      </c>
      <c r="H82" s="9" t="s">
        <v>115</v>
      </c>
      <c r="I82" s="9" t="s">
        <v>116</v>
      </c>
      <c r="J82" s="9" t="s">
        <v>2073</v>
      </c>
    </row>
    <row r="83" spans="1:10">
      <c r="A83" s="8">
        <v>44591</v>
      </c>
      <c r="B83" s="10" t="s">
        <v>1594</v>
      </c>
      <c r="C83" s="11" t="s">
        <v>297</v>
      </c>
      <c r="D83" s="11" t="s">
        <v>2611</v>
      </c>
      <c r="E83" s="11">
        <v>737.88</v>
      </c>
      <c r="F83" s="11" t="s">
        <v>129</v>
      </c>
      <c r="G83" s="11" t="s">
        <v>2074</v>
      </c>
      <c r="H83" s="9" t="s">
        <v>115</v>
      </c>
      <c r="I83" s="9" t="s">
        <v>116</v>
      </c>
      <c r="J83" s="9" t="s">
        <v>2073</v>
      </c>
    </row>
    <row r="84" spans="1:10">
      <c r="A84" s="8">
        <v>68713</v>
      </c>
      <c r="B84" s="10" t="s">
        <v>2316</v>
      </c>
      <c r="C84" s="11" t="s">
        <v>2317</v>
      </c>
      <c r="D84" s="11" t="s">
        <v>2789</v>
      </c>
      <c r="E84" s="11">
        <v>737.88</v>
      </c>
      <c r="F84" s="11" t="s">
        <v>111</v>
      </c>
      <c r="G84" s="11" t="s">
        <v>2072</v>
      </c>
      <c r="H84" s="9" t="s">
        <v>355</v>
      </c>
      <c r="I84" s="9" t="s">
        <v>49</v>
      </c>
      <c r="J84" s="9" t="s">
        <v>2077</v>
      </c>
    </row>
    <row r="85" spans="1:10">
      <c r="A85" s="8">
        <v>67633</v>
      </c>
      <c r="B85" s="10" t="s">
        <v>2210</v>
      </c>
      <c r="C85" s="11" t="s">
        <v>2184</v>
      </c>
      <c r="D85" s="11" t="s">
        <v>2424</v>
      </c>
      <c r="E85" s="11">
        <v>2110.38</v>
      </c>
      <c r="F85" s="11" t="s">
        <v>0</v>
      </c>
      <c r="G85" s="11" t="s">
        <v>2072</v>
      </c>
      <c r="H85" s="9" t="s">
        <v>153</v>
      </c>
      <c r="I85" s="9" t="s">
        <v>154</v>
      </c>
      <c r="J85" s="9" t="s">
        <v>2073</v>
      </c>
    </row>
    <row r="86" spans="1:10">
      <c r="A86" s="8">
        <v>56580</v>
      </c>
      <c r="B86" s="10" t="s">
        <v>1371</v>
      </c>
      <c r="C86" s="11" t="s">
        <v>87</v>
      </c>
      <c r="D86" s="11" t="s">
        <v>2901</v>
      </c>
      <c r="E86" s="11">
        <v>2110.38</v>
      </c>
      <c r="F86" s="11" t="s">
        <v>0</v>
      </c>
      <c r="G86" s="11" t="s">
        <v>2072</v>
      </c>
      <c r="H86" s="9" t="s">
        <v>298</v>
      </c>
      <c r="I86" s="9" t="s">
        <v>299</v>
      </c>
      <c r="J86" s="9" t="s">
        <v>2140</v>
      </c>
    </row>
    <row r="87" spans="1:10">
      <c r="A87" s="8">
        <v>47012</v>
      </c>
      <c r="B87" s="10" t="s">
        <v>1595</v>
      </c>
      <c r="C87" s="11" t="s">
        <v>300</v>
      </c>
      <c r="D87" s="11" t="s">
        <v>2623</v>
      </c>
      <c r="E87" s="11">
        <v>955.15</v>
      </c>
      <c r="F87" s="11" t="s">
        <v>113</v>
      </c>
      <c r="G87" s="11" t="s">
        <v>2072</v>
      </c>
      <c r="H87" s="9" t="s">
        <v>115</v>
      </c>
      <c r="I87" s="9" t="s">
        <v>116</v>
      </c>
      <c r="J87" s="9" t="s">
        <v>2073</v>
      </c>
    </row>
    <row r="88" spans="1:10">
      <c r="A88" s="8">
        <v>56091</v>
      </c>
      <c r="B88" s="10" t="s">
        <v>302</v>
      </c>
      <c r="C88" s="11" t="s">
        <v>301</v>
      </c>
      <c r="D88" s="11" t="s">
        <v>2413</v>
      </c>
      <c r="E88" s="11">
        <v>2166.9</v>
      </c>
      <c r="F88" s="11" t="s">
        <v>0</v>
      </c>
      <c r="G88" s="11" t="s">
        <v>2072</v>
      </c>
      <c r="H88" s="9" t="s">
        <v>194</v>
      </c>
      <c r="I88" s="9" t="s">
        <v>195</v>
      </c>
      <c r="J88" s="9" t="s">
        <v>2093</v>
      </c>
    </row>
    <row r="89" spans="1:10">
      <c r="A89" s="8">
        <v>58305</v>
      </c>
      <c r="B89" s="10" t="s">
        <v>1596</v>
      </c>
      <c r="C89" s="11" t="s">
        <v>303</v>
      </c>
      <c r="D89" s="11" t="s">
        <v>2756</v>
      </c>
      <c r="E89" s="11">
        <v>878.5</v>
      </c>
      <c r="F89" s="11" t="s">
        <v>113</v>
      </c>
      <c r="G89" s="11" t="s">
        <v>2072</v>
      </c>
      <c r="H89" s="9" t="s">
        <v>304</v>
      </c>
      <c r="I89" s="9" t="s">
        <v>79</v>
      </c>
      <c r="J89" s="9" t="s">
        <v>2142</v>
      </c>
    </row>
    <row r="90" spans="1:10">
      <c r="A90" s="8">
        <v>68520</v>
      </c>
      <c r="B90" s="10" t="s">
        <v>2318</v>
      </c>
      <c r="C90" s="11" t="s">
        <v>2319</v>
      </c>
      <c r="D90" s="11" t="s">
        <v>2859</v>
      </c>
      <c r="E90" s="11">
        <v>2110.38</v>
      </c>
      <c r="F90" s="11" t="s">
        <v>0</v>
      </c>
      <c r="G90" s="11" t="s">
        <v>2072</v>
      </c>
      <c r="H90" s="9" t="s">
        <v>216</v>
      </c>
      <c r="I90" s="9" t="s">
        <v>217</v>
      </c>
      <c r="J90" s="9" t="s">
        <v>2076</v>
      </c>
    </row>
    <row r="91" spans="1:10">
      <c r="A91" s="8">
        <v>4070</v>
      </c>
      <c r="B91" s="10" t="s">
        <v>1597</v>
      </c>
      <c r="C91" s="11" t="s">
        <v>305</v>
      </c>
      <c r="D91" s="11" t="s">
        <v>2451</v>
      </c>
      <c r="E91" s="11">
        <v>955.15</v>
      </c>
      <c r="F91" s="11" t="s">
        <v>113</v>
      </c>
      <c r="G91" s="11" t="s">
        <v>2072</v>
      </c>
      <c r="H91" s="9" t="s">
        <v>178</v>
      </c>
      <c r="I91" s="9" t="s">
        <v>179</v>
      </c>
      <c r="J91" s="9" t="s">
        <v>2073</v>
      </c>
    </row>
    <row r="92" spans="1:10">
      <c r="A92" s="8">
        <v>56031</v>
      </c>
      <c r="B92" s="10" t="s">
        <v>1378</v>
      </c>
      <c r="C92" s="11" t="s">
        <v>3</v>
      </c>
      <c r="D92" s="11" t="s">
        <v>2413</v>
      </c>
      <c r="E92" s="11">
        <v>2110.38</v>
      </c>
      <c r="F92" s="11" t="s">
        <v>0</v>
      </c>
      <c r="G92" s="11" t="s">
        <v>2072</v>
      </c>
      <c r="H92" s="9" t="s">
        <v>306</v>
      </c>
      <c r="I92" s="9" t="s">
        <v>307</v>
      </c>
      <c r="J92" s="9" t="s">
        <v>2073</v>
      </c>
    </row>
    <row r="93" spans="1:10">
      <c r="A93" s="8">
        <v>55162</v>
      </c>
      <c r="B93" s="10" t="s">
        <v>1598</v>
      </c>
      <c r="C93" s="11" t="s">
        <v>309</v>
      </c>
      <c r="D93" s="11" t="s">
        <v>2725</v>
      </c>
      <c r="E93" s="11">
        <v>955.14</v>
      </c>
      <c r="F93" s="11" t="s">
        <v>113</v>
      </c>
      <c r="G93" s="11" t="s">
        <v>2072</v>
      </c>
      <c r="H93" s="9" t="s">
        <v>142</v>
      </c>
      <c r="I93" s="9" t="s">
        <v>143</v>
      </c>
      <c r="J93" s="9" t="s">
        <v>2073</v>
      </c>
    </row>
    <row r="94" spans="1:10">
      <c r="A94" s="8">
        <v>15110</v>
      </c>
      <c r="B94" s="10" t="s">
        <v>311</v>
      </c>
      <c r="C94" s="11" t="s">
        <v>312</v>
      </c>
      <c r="D94" s="11" t="s">
        <v>2490</v>
      </c>
      <c r="E94" s="11">
        <v>737.88</v>
      </c>
      <c r="F94" s="11" t="s">
        <v>129</v>
      </c>
      <c r="G94" s="11" t="s">
        <v>2072</v>
      </c>
      <c r="H94" s="9" t="s">
        <v>270</v>
      </c>
      <c r="I94" s="9" t="s">
        <v>70</v>
      </c>
      <c r="J94" s="9" t="s">
        <v>2084</v>
      </c>
    </row>
    <row r="95" spans="1:10">
      <c r="A95" s="8">
        <v>55411</v>
      </c>
      <c r="B95" s="10" t="s">
        <v>1599</v>
      </c>
      <c r="C95" s="11" t="s">
        <v>313</v>
      </c>
      <c r="D95" s="11" t="s">
        <v>2729</v>
      </c>
      <c r="E95" s="11">
        <v>737.88</v>
      </c>
      <c r="F95" s="11" t="s">
        <v>129</v>
      </c>
      <c r="G95" s="11" t="s">
        <v>2072</v>
      </c>
      <c r="H95" s="9" t="s">
        <v>314</v>
      </c>
      <c r="I95" s="9" t="s">
        <v>315</v>
      </c>
      <c r="J95" s="9" t="s">
        <v>2150</v>
      </c>
    </row>
    <row r="96" spans="1:10">
      <c r="A96" s="8">
        <v>64232</v>
      </c>
      <c r="B96" s="10" t="s">
        <v>1600</v>
      </c>
      <c r="C96" s="11" t="s">
        <v>1228</v>
      </c>
      <c r="D96" s="11" t="s">
        <v>2816</v>
      </c>
      <c r="E96" s="11">
        <v>737.88</v>
      </c>
      <c r="F96" s="11" t="s">
        <v>129</v>
      </c>
      <c r="G96" s="11" t="s">
        <v>2072</v>
      </c>
      <c r="H96" s="9" t="s">
        <v>169</v>
      </c>
      <c r="I96" s="9" t="s">
        <v>66</v>
      </c>
      <c r="J96" s="9" t="s">
        <v>2088</v>
      </c>
    </row>
    <row r="97" spans="1:10">
      <c r="A97" s="8">
        <v>64919</v>
      </c>
      <c r="B97" s="10" t="s">
        <v>1601</v>
      </c>
      <c r="C97" s="11" t="s">
        <v>1251</v>
      </c>
      <c r="D97" s="11" t="s">
        <v>2407</v>
      </c>
      <c r="E97" s="11">
        <v>178.57</v>
      </c>
      <c r="F97" s="11" t="s">
        <v>129</v>
      </c>
      <c r="G97" s="11" t="s">
        <v>2072</v>
      </c>
      <c r="H97" s="9" t="s">
        <v>1252</v>
      </c>
      <c r="I97" s="9" t="s">
        <v>1253</v>
      </c>
      <c r="J97" s="9" t="s">
        <v>2902</v>
      </c>
    </row>
    <row r="98" spans="1:10">
      <c r="A98" s="8">
        <v>4057</v>
      </c>
      <c r="B98" s="10" t="s">
        <v>1602</v>
      </c>
      <c r="C98" s="11" t="s">
        <v>316</v>
      </c>
      <c r="D98" s="11" t="s">
        <v>2451</v>
      </c>
      <c r="E98" s="11">
        <v>737.88</v>
      </c>
      <c r="F98" s="11" t="s">
        <v>258</v>
      </c>
      <c r="G98" s="11" t="s">
        <v>2072</v>
      </c>
      <c r="H98" s="9" t="s">
        <v>115</v>
      </c>
      <c r="I98" s="9" t="s">
        <v>116</v>
      </c>
      <c r="J98" s="9" t="s">
        <v>2073</v>
      </c>
    </row>
    <row r="99" spans="1:10">
      <c r="A99" s="8">
        <v>51697</v>
      </c>
      <c r="B99" s="10" t="s">
        <v>1603</v>
      </c>
      <c r="C99" s="11" t="s">
        <v>317</v>
      </c>
      <c r="D99" s="11" t="s">
        <v>2674</v>
      </c>
      <c r="E99" s="11">
        <v>737.88</v>
      </c>
      <c r="F99" s="11" t="s">
        <v>129</v>
      </c>
      <c r="G99" s="11" t="s">
        <v>2074</v>
      </c>
      <c r="H99" s="9" t="s">
        <v>248</v>
      </c>
      <c r="I99" s="9" t="s">
        <v>249</v>
      </c>
      <c r="J99" s="9" t="s">
        <v>2073</v>
      </c>
    </row>
    <row r="100" spans="1:10">
      <c r="A100" s="8">
        <v>4109</v>
      </c>
      <c r="B100" s="10" t="s">
        <v>1604</v>
      </c>
      <c r="C100" s="11" t="s">
        <v>318</v>
      </c>
      <c r="D100" s="11" t="s">
        <v>2451</v>
      </c>
      <c r="E100" s="11">
        <v>1520.04</v>
      </c>
      <c r="F100" s="11" t="s">
        <v>155</v>
      </c>
      <c r="G100" s="11" t="s">
        <v>2072</v>
      </c>
      <c r="H100" s="9" t="s">
        <v>115</v>
      </c>
      <c r="I100" s="9" t="s">
        <v>116</v>
      </c>
      <c r="J100" s="9" t="s">
        <v>2073</v>
      </c>
    </row>
    <row r="101" spans="1:10">
      <c r="A101" s="8">
        <v>58332</v>
      </c>
      <c r="B101" s="10" t="s">
        <v>1605</v>
      </c>
      <c r="C101" s="11" t="s">
        <v>319</v>
      </c>
      <c r="D101" s="11" t="s">
        <v>2758</v>
      </c>
      <c r="E101" s="11">
        <v>737.88</v>
      </c>
      <c r="F101" s="11" t="s">
        <v>129</v>
      </c>
      <c r="G101" s="11" t="s">
        <v>2072</v>
      </c>
      <c r="H101" s="9" t="s">
        <v>211</v>
      </c>
      <c r="I101" s="9" t="s">
        <v>93</v>
      </c>
      <c r="J101" s="9" t="s">
        <v>2080</v>
      </c>
    </row>
    <row r="102" spans="1:10">
      <c r="A102" s="8">
        <v>37829</v>
      </c>
      <c r="B102" s="10" t="s">
        <v>1606</v>
      </c>
      <c r="C102" s="11" t="s">
        <v>321</v>
      </c>
      <c r="D102" s="11" t="s">
        <v>2587</v>
      </c>
      <c r="E102" s="11">
        <v>584.38</v>
      </c>
      <c r="F102" s="11" t="s">
        <v>129</v>
      </c>
      <c r="G102" s="11" t="s">
        <v>2072</v>
      </c>
      <c r="H102" s="9" t="s">
        <v>322</v>
      </c>
      <c r="I102" s="9" t="s">
        <v>323</v>
      </c>
      <c r="J102" s="9" t="s">
        <v>2114</v>
      </c>
    </row>
    <row r="103" spans="1:10">
      <c r="A103" s="8">
        <v>50469</v>
      </c>
      <c r="B103" s="10" t="s">
        <v>1607</v>
      </c>
      <c r="C103" s="11" t="s">
        <v>325</v>
      </c>
      <c r="D103" s="11" t="s">
        <v>2654</v>
      </c>
      <c r="E103" s="11">
        <v>1093.3699999999999</v>
      </c>
      <c r="F103" s="11" t="s">
        <v>117</v>
      </c>
      <c r="G103" s="11" t="s">
        <v>2072</v>
      </c>
      <c r="H103" s="9" t="s">
        <v>115</v>
      </c>
      <c r="I103" s="9" t="s">
        <v>116</v>
      </c>
      <c r="J103" s="9" t="s">
        <v>2073</v>
      </c>
    </row>
    <row r="104" spans="1:10">
      <c r="A104" s="8">
        <v>30680</v>
      </c>
      <c r="B104" s="10" t="s">
        <v>1608</v>
      </c>
      <c r="C104" s="11" t="s">
        <v>330</v>
      </c>
      <c r="D104" s="11" t="s">
        <v>2549</v>
      </c>
      <c r="E104" s="11">
        <v>737.88</v>
      </c>
      <c r="F104" s="11" t="s">
        <v>111</v>
      </c>
      <c r="G104" s="11" t="s">
        <v>2072</v>
      </c>
      <c r="H104" s="9" t="s">
        <v>331</v>
      </c>
      <c r="I104" s="9" t="s">
        <v>332</v>
      </c>
      <c r="J104" s="9" t="s">
        <v>2073</v>
      </c>
    </row>
    <row r="105" spans="1:10">
      <c r="A105" s="8">
        <v>68696</v>
      </c>
      <c r="B105" s="10" t="s">
        <v>2320</v>
      </c>
      <c r="C105" s="11" t="s">
        <v>2321</v>
      </c>
      <c r="D105" s="11" t="s">
        <v>2879</v>
      </c>
      <c r="E105" s="11">
        <v>737.88</v>
      </c>
      <c r="F105" s="11" t="s">
        <v>122</v>
      </c>
      <c r="G105" s="11" t="s">
        <v>2072</v>
      </c>
      <c r="H105" s="9" t="s">
        <v>366</v>
      </c>
      <c r="I105" s="9" t="s">
        <v>367</v>
      </c>
      <c r="J105" s="9" t="s">
        <v>2073</v>
      </c>
    </row>
    <row r="106" spans="1:10">
      <c r="A106" s="8">
        <v>50730</v>
      </c>
      <c r="B106" s="10" t="s">
        <v>1609</v>
      </c>
      <c r="C106" s="11" t="s">
        <v>336</v>
      </c>
      <c r="D106" s="11" t="s">
        <v>2659</v>
      </c>
      <c r="E106" s="11">
        <v>737.88</v>
      </c>
      <c r="F106" s="11" t="s">
        <v>258</v>
      </c>
      <c r="G106" s="11" t="s">
        <v>2072</v>
      </c>
      <c r="H106" s="9" t="s">
        <v>234</v>
      </c>
      <c r="I106" s="9" t="s">
        <v>235</v>
      </c>
      <c r="J106" s="9" t="s">
        <v>2073</v>
      </c>
    </row>
    <row r="107" spans="1:10">
      <c r="A107" s="8">
        <v>62577</v>
      </c>
      <c r="B107" s="10" t="s">
        <v>1610</v>
      </c>
      <c r="C107" s="11" t="s">
        <v>1197</v>
      </c>
      <c r="D107" s="11" t="s">
        <v>2806</v>
      </c>
      <c r="E107" s="11">
        <v>955.14</v>
      </c>
      <c r="F107" s="11" t="s">
        <v>113</v>
      </c>
      <c r="G107" s="11" t="s">
        <v>2072</v>
      </c>
      <c r="H107" s="9" t="s">
        <v>314</v>
      </c>
      <c r="I107" s="9" t="s">
        <v>315</v>
      </c>
      <c r="J107" s="9" t="s">
        <v>2150</v>
      </c>
    </row>
    <row r="108" spans="1:10">
      <c r="A108" s="8">
        <v>61734</v>
      </c>
      <c r="B108" s="10" t="s">
        <v>1382</v>
      </c>
      <c r="C108" s="11" t="s">
        <v>1192</v>
      </c>
      <c r="D108" s="11" t="s">
        <v>2801</v>
      </c>
      <c r="E108" s="11">
        <v>2110.38</v>
      </c>
      <c r="F108" s="11" t="s">
        <v>0</v>
      </c>
      <c r="G108" s="11" t="s">
        <v>2072</v>
      </c>
      <c r="H108" s="9" t="s">
        <v>306</v>
      </c>
      <c r="I108" s="9" t="s">
        <v>307</v>
      </c>
      <c r="J108" s="9" t="s">
        <v>2073</v>
      </c>
    </row>
    <row r="109" spans="1:10">
      <c r="A109" s="8">
        <v>64684</v>
      </c>
      <c r="B109" s="10" t="s">
        <v>1611</v>
      </c>
      <c r="C109" s="11" t="s">
        <v>1254</v>
      </c>
      <c r="D109" s="11" t="s">
        <v>2407</v>
      </c>
      <c r="E109" s="11">
        <v>822.96</v>
      </c>
      <c r="F109" s="11" t="s">
        <v>133</v>
      </c>
      <c r="G109" s="11" t="s">
        <v>2072</v>
      </c>
      <c r="H109" s="9" t="s">
        <v>270</v>
      </c>
      <c r="I109" s="9" t="s">
        <v>70</v>
      </c>
      <c r="J109" s="9" t="s">
        <v>2084</v>
      </c>
    </row>
    <row r="110" spans="1:10">
      <c r="A110" s="8">
        <v>68088</v>
      </c>
      <c r="B110" s="10" t="s">
        <v>2260</v>
      </c>
      <c r="C110" s="11" t="s">
        <v>2261</v>
      </c>
      <c r="D110" s="11" t="s">
        <v>2409</v>
      </c>
      <c r="E110" s="11">
        <v>357.13</v>
      </c>
      <c r="F110" s="11" t="s">
        <v>129</v>
      </c>
      <c r="G110" s="11" t="s">
        <v>2072</v>
      </c>
      <c r="H110" s="9" t="s">
        <v>208</v>
      </c>
      <c r="I110" s="9" t="s">
        <v>209</v>
      </c>
      <c r="J110" s="9" t="s">
        <v>2570</v>
      </c>
    </row>
    <row r="111" spans="1:10">
      <c r="A111" s="8">
        <v>58891</v>
      </c>
      <c r="B111" s="10" t="s">
        <v>1612</v>
      </c>
      <c r="C111" s="11" t="s">
        <v>340</v>
      </c>
      <c r="D111" s="11" t="s">
        <v>2763</v>
      </c>
      <c r="E111" s="11">
        <v>1520.04</v>
      </c>
      <c r="F111" s="11" t="s">
        <v>155</v>
      </c>
      <c r="G111" s="11" t="s">
        <v>2072</v>
      </c>
      <c r="H111" s="9" t="s">
        <v>178</v>
      </c>
      <c r="I111" s="9" t="s">
        <v>179</v>
      </c>
      <c r="J111" s="9" t="s">
        <v>2073</v>
      </c>
    </row>
    <row r="112" spans="1:10">
      <c r="A112" s="8">
        <v>25443</v>
      </c>
      <c r="B112" s="10" t="s">
        <v>341</v>
      </c>
      <c r="C112" s="11" t="s">
        <v>342</v>
      </c>
      <c r="D112" s="11" t="s">
        <v>2535</v>
      </c>
      <c r="E112" s="11">
        <v>737.88</v>
      </c>
      <c r="F112" s="11" t="s">
        <v>129</v>
      </c>
      <c r="G112" s="11" t="s">
        <v>2072</v>
      </c>
      <c r="H112" s="9" t="s">
        <v>343</v>
      </c>
      <c r="I112" s="9" t="s">
        <v>344</v>
      </c>
      <c r="J112" s="9" t="s">
        <v>2099</v>
      </c>
    </row>
    <row r="113" spans="1:10">
      <c r="A113" s="8">
        <v>67356</v>
      </c>
      <c r="B113" s="10" t="s">
        <v>1613</v>
      </c>
      <c r="C113" s="11" t="s">
        <v>1614</v>
      </c>
      <c r="D113" s="11" t="s">
        <v>2855</v>
      </c>
      <c r="E113" s="11">
        <v>737.88</v>
      </c>
      <c r="F113" s="11" t="s">
        <v>129</v>
      </c>
      <c r="G113" s="11" t="s">
        <v>2072</v>
      </c>
      <c r="H113" s="9" t="s">
        <v>146</v>
      </c>
      <c r="I113" s="9" t="s">
        <v>4</v>
      </c>
      <c r="J113" s="9" t="s">
        <v>2073</v>
      </c>
    </row>
    <row r="114" spans="1:10">
      <c r="A114" s="8">
        <v>68627</v>
      </c>
      <c r="B114" s="10" t="s">
        <v>2322</v>
      </c>
      <c r="C114" s="11" t="s">
        <v>2323</v>
      </c>
      <c r="D114" s="11" t="s">
        <v>2693</v>
      </c>
      <c r="E114" s="11">
        <v>737.88</v>
      </c>
      <c r="F114" s="11" t="s">
        <v>129</v>
      </c>
      <c r="G114" s="11" t="s">
        <v>2072</v>
      </c>
      <c r="H114" s="9" t="s">
        <v>211</v>
      </c>
      <c r="I114" s="9" t="s">
        <v>93</v>
      </c>
      <c r="J114" s="9" t="s">
        <v>2080</v>
      </c>
    </row>
    <row r="115" spans="1:10">
      <c r="A115" s="8">
        <v>42086</v>
      </c>
      <c r="B115" s="10" t="s">
        <v>345</v>
      </c>
      <c r="C115" s="11" t="s">
        <v>346</v>
      </c>
      <c r="D115" s="11" t="s">
        <v>2903</v>
      </c>
      <c r="E115" s="11">
        <v>357.13</v>
      </c>
      <c r="F115" s="11" t="s">
        <v>129</v>
      </c>
      <c r="G115" s="11" t="s">
        <v>2081</v>
      </c>
      <c r="H115" s="9" t="s">
        <v>347</v>
      </c>
      <c r="I115" s="9" t="s">
        <v>74</v>
      </c>
      <c r="J115" s="9" t="s">
        <v>2086</v>
      </c>
    </row>
    <row r="116" spans="1:10">
      <c r="A116" s="8">
        <v>68189</v>
      </c>
      <c r="B116" s="10" t="s">
        <v>2262</v>
      </c>
      <c r="C116" s="11" t="s">
        <v>2263</v>
      </c>
      <c r="D116" s="11" t="s">
        <v>2873</v>
      </c>
      <c r="E116" s="11">
        <v>737.88</v>
      </c>
      <c r="F116" s="11" t="s">
        <v>122</v>
      </c>
      <c r="G116" s="11" t="s">
        <v>2072</v>
      </c>
      <c r="H116" s="9" t="s">
        <v>153</v>
      </c>
      <c r="I116" s="9" t="s">
        <v>154</v>
      </c>
      <c r="J116" s="9" t="s">
        <v>2073</v>
      </c>
    </row>
    <row r="117" spans="1:10">
      <c r="A117" s="8">
        <v>55504</v>
      </c>
      <c r="B117" s="10" t="s">
        <v>1615</v>
      </c>
      <c r="C117" s="11" t="s">
        <v>348</v>
      </c>
      <c r="D117" s="11" t="s">
        <v>2732</v>
      </c>
      <c r="E117" s="11">
        <v>737.88</v>
      </c>
      <c r="F117" s="11" t="s">
        <v>258</v>
      </c>
      <c r="G117" s="11" t="s">
        <v>2072</v>
      </c>
      <c r="H117" s="9" t="s">
        <v>146</v>
      </c>
      <c r="I117" s="9" t="s">
        <v>4</v>
      </c>
      <c r="J117" s="9" t="s">
        <v>2073</v>
      </c>
    </row>
    <row r="118" spans="1:10">
      <c r="A118" s="8">
        <v>64067</v>
      </c>
      <c r="B118" s="10" t="s">
        <v>1616</v>
      </c>
      <c r="C118" s="11" t="s">
        <v>1229</v>
      </c>
      <c r="D118" s="11" t="s">
        <v>2815</v>
      </c>
      <c r="E118" s="11">
        <v>163.07</v>
      </c>
      <c r="F118" s="11" t="s">
        <v>129</v>
      </c>
      <c r="G118" s="11" t="s">
        <v>2072</v>
      </c>
      <c r="H118" s="9" t="s">
        <v>1230</v>
      </c>
      <c r="I118" s="9" t="s">
        <v>1231</v>
      </c>
      <c r="J118" s="9" t="s">
        <v>2904</v>
      </c>
    </row>
    <row r="119" spans="1:10">
      <c r="A119" s="8">
        <v>52698</v>
      </c>
      <c r="B119" s="10" t="s">
        <v>351</v>
      </c>
      <c r="C119" s="11" t="s">
        <v>352</v>
      </c>
      <c r="D119" s="11" t="s">
        <v>2686</v>
      </c>
      <c r="E119" s="11">
        <v>1520.04</v>
      </c>
      <c r="F119" s="11" t="s">
        <v>155</v>
      </c>
      <c r="G119" s="11" t="s">
        <v>2072</v>
      </c>
      <c r="H119" s="9" t="s">
        <v>146</v>
      </c>
      <c r="I119" s="9" t="s">
        <v>4</v>
      </c>
      <c r="J119" s="9" t="s">
        <v>2073</v>
      </c>
    </row>
    <row r="120" spans="1:10">
      <c r="A120" s="8">
        <v>56981</v>
      </c>
      <c r="B120" s="10" t="s">
        <v>1617</v>
      </c>
      <c r="C120" s="11" t="s">
        <v>354</v>
      </c>
      <c r="D120" s="11" t="s">
        <v>2742</v>
      </c>
      <c r="E120" s="11">
        <v>1520.04</v>
      </c>
      <c r="F120" s="11" t="s">
        <v>155</v>
      </c>
      <c r="G120" s="11" t="s">
        <v>2072</v>
      </c>
      <c r="H120" s="9" t="s">
        <v>331</v>
      </c>
      <c r="I120" s="9" t="s">
        <v>332</v>
      </c>
      <c r="J120" s="9" t="s">
        <v>2073</v>
      </c>
    </row>
    <row r="121" spans="1:10">
      <c r="A121" s="8">
        <v>61772</v>
      </c>
      <c r="B121" s="10" t="s">
        <v>1618</v>
      </c>
      <c r="C121" s="11" t="s">
        <v>1173</v>
      </c>
      <c r="D121" s="11" t="s">
        <v>2801</v>
      </c>
      <c r="E121" s="11">
        <v>1520.05</v>
      </c>
      <c r="F121" s="11" t="s">
        <v>155</v>
      </c>
      <c r="G121" s="11" t="s">
        <v>2072</v>
      </c>
      <c r="H121" s="9" t="s">
        <v>569</v>
      </c>
      <c r="I121" s="9" t="s">
        <v>56</v>
      </c>
      <c r="J121" s="9" t="s">
        <v>2089</v>
      </c>
    </row>
    <row r="122" spans="1:10">
      <c r="A122" s="8">
        <v>68150</v>
      </c>
      <c r="B122" s="10" t="s">
        <v>2264</v>
      </c>
      <c r="C122" s="11" t="s">
        <v>2265</v>
      </c>
      <c r="D122" s="11" t="s">
        <v>2872</v>
      </c>
      <c r="E122" s="11">
        <v>822.96</v>
      </c>
      <c r="F122" s="11" t="s">
        <v>133</v>
      </c>
      <c r="G122" s="11" t="s">
        <v>2072</v>
      </c>
      <c r="H122" s="9" t="s">
        <v>250</v>
      </c>
      <c r="I122" s="9" t="s">
        <v>90</v>
      </c>
      <c r="J122" s="9" t="s">
        <v>2076</v>
      </c>
    </row>
    <row r="123" spans="1:10">
      <c r="A123" s="8">
        <v>61661</v>
      </c>
      <c r="B123" s="10" t="s">
        <v>1619</v>
      </c>
      <c r="C123" s="11" t="s">
        <v>1185</v>
      </c>
      <c r="D123" s="11" t="s">
        <v>2800</v>
      </c>
      <c r="E123" s="11">
        <v>737.88</v>
      </c>
      <c r="F123" s="11" t="s">
        <v>122</v>
      </c>
      <c r="G123" s="11" t="s">
        <v>2072</v>
      </c>
      <c r="H123" s="9" t="s">
        <v>146</v>
      </c>
      <c r="I123" s="9" t="s">
        <v>4</v>
      </c>
      <c r="J123" s="9" t="s">
        <v>2073</v>
      </c>
    </row>
    <row r="124" spans="1:10">
      <c r="A124" s="8">
        <v>62083</v>
      </c>
      <c r="B124" s="10" t="s">
        <v>1620</v>
      </c>
      <c r="C124" s="11" t="s">
        <v>1193</v>
      </c>
      <c r="D124" s="11" t="s">
        <v>2791</v>
      </c>
      <c r="E124" s="11">
        <v>737.88</v>
      </c>
      <c r="F124" s="11" t="s">
        <v>111</v>
      </c>
      <c r="G124" s="11" t="s">
        <v>2094</v>
      </c>
      <c r="H124" s="9" t="s">
        <v>355</v>
      </c>
      <c r="I124" s="9" t="s">
        <v>49</v>
      </c>
      <c r="J124" s="9" t="s">
        <v>2077</v>
      </c>
    </row>
    <row r="125" spans="1:10">
      <c r="A125" s="8">
        <v>64714</v>
      </c>
      <c r="B125" s="10" t="s">
        <v>1621</v>
      </c>
      <c r="C125" s="11" t="s">
        <v>1255</v>
      </c>
      <c r="D125" s="11" t="s">
        <v>2825</v>
      </c>
      <c r="E125" s="11">
        <v>1520.04</v>
      </c>
      <c r="F125" s="11" t="s">
        <v>155</v>
      </c>
      <c r="G125" s="11" t="s">
        <v>2072</v>
      </c>
      <c r="H125" s="9" t="s">
        <v>357</v>
      </c>
      <c r="I125" s="9" t="s">
        <v>358</v>
      </c>
      <c r="J125" s="9" t="s">
        <v>2126</v>
      </c>
    </row>
    <row r="126" spans="1:10">
      <c r="A126" s="8">
        <v>22342</v>
      </c>
      <c r="B126" s="10" t="s">
        <v>1622</v>
      </c>
      <c r="C126" s="11" t="s">
        <v>356</v>
      </c>
      <c r="D126" s="11" t="s">
        <v>2517</v>
      </c>
      <c r="E126" s="11">
        <v>1520.04</v>
      </c>
      <c r="F126" s="11" t="s">
        <v>155</v>
      </c>
      <c r="G126" s="11" t="s">
        <v>2072</v>
      </c>
      <c r="H126" s="9" t="s">
        <v>248</v>
      </c>
      <c r="I126" s="9" t="s">
        <v>249</v>
      </c>
      <c r="J126" s="9" t="s">
        <v>2073</v>
      </c>
    </row>
    <row r="127" spans="1:10">
      <c r="A127" s="8">
        <v>28669</v>
      </c>
      <c r="B127" s="10" t="s">
        <v>360</v>
      </c>
      <c r="C127" s="11" t="s">
        <v>361</v>
      </c>
      <c r="D127" s="11" t="s">
        <v>2539</v>
      </c>
      <c r="E127" s="11">
        <v>822.96</v>
      </c>
      <c r="F127" s="11" t="s">
        <v>133</v>
      </c>
      <c r="G127" s="11" t="s">
        <v>2072</v>
      </c>
      <c r="H127" s="9" t="s">
        <v>234</v>
      </c>
      <c r="I127" s="9" t="s">
        <v>235</v>
      </c>
      <c r="J127" s="9" t="s">
        <v>2073</v>
      </c>
    </row>
    <row r="128" spans="1:10">
      <c r="A128" s="8">
        <v>64143</v>
      </c>
      <c r="B128" s="10" t="s">
        <v>1623</v>
      </c>
      <c r="C128" s="11" t="s">
        <v>1232</v>
      </c>
      <c r="D128" s="11" t="s">
        <v>2614</v>
      </c>
      <c r="E128" s="11">
        <v>737.88</v>
      </c>
      <c r="F128" s="11" t="s">
        <v>227</v>
      </c>
      <c r="G128" s="11" t="s">
        <v>2072</v>
      </c>
      <c r="H128" s="9" t="s">
        <v>115</v>
      </c>
      <c r="I128" s="9" t="s">
        <v>116</v>
      </c>
      <c r="J128" s="9" t="s">
        <v>2073</v>
      </c>
    </row>
    <row r="129" spans="1:10">
      <c r="A129" s="8">
        <v>56129</v>
      </c>
      <c r="B129" s="10" t="s">
        <v>363</v>
      </c>
      <c r="C129" s="11" t="s">
        <v>46</v>
      </c>
      <c r="D129" s="11" t="s">
        <v>2413</v>
      </c>
      <c r="E129" s="11">
        <v>2110.38</v>
      </c>
      <c r="F129" s="11" t="s">
        <v>0</v>
      </c>
      <c r="G129" s="11" t="s">
        <v>2072</v>
      </c>
      <c r="H129" s="9" t="s">
        <v>364</v>
      </c>
      <c r="I129" s="9" t="s">
        <v>365</v>
      </c>
      <c r="J129" s="9" t="s">
        <v>2098</v>
      </c>
    </row>
    <row r="130" spans="1:10">
      <c r="A130" s="8">
        <v>34822</v>
      </c>
      <c r="B130" s="10" t="s">
        <v>1624</v>
      </c>
      <c r="C130" s="11" t="s">
        <v>368</v>
      </c>
      <c r="D130" s="11" t="s">
        <v>2574</v>
      </c>
      <c r="E130" s="11">
        <v>955.15</v>
      </c>
      <c r="F130" s="11" t="s">
        <v>113</v>
      </c>
      <c r="G130" s="11" t="s">
        <v>2072</v>
      </c>
      <c r="H130" s="9" t="s">
        <v>212</v>
      </c>
      <c r="I130" s="9" t="s">
        <v>213</v>
      </c>
      <c r="J130" s="9" t="s">
        <v>2073</v>
      </c>
    </row>
    <row r="131" spans="1:10">
      <c r="A131" s="8">
        <v>58058</v>
      </c>
      <c r="B131" s="10" t="s">
        <v>1383</v>
      </c>
      <c r="C131" s="11" t="s">
        <v>5</v>
      </c>
      <c r="D131" s="11" t="s">
        <v>2752</v>
      </c>
      <c r="E131" s="11">
        <v>2110.38</v>
      </c>
      <c r="F131" s="11" t="s">
        <v>0</v>
      </c>
      <c r="G131" s="11" t="s">
        <v>2074</v>
      </c>
      <c r="H131" s="9" t="s">
        <v>306</v>
      </c>
      <c r="I131" s="9" t="s">
        <v>307</v>
      </c>
      <c r="J131" s="9" t="s">
        <v>2073</v>
      </c>
    </row>
    <row r="132" spans="1:10">
      <c r="A132" s="8">
        <v>37351</v>
      </c>
      <c r="B132" s="10" t="s">
        <v>369</v>
      </c>
      <c r="C132" s="11" t="s">
        <v>370</v>
      </c>
      <c r="D132" s="11" t="s">
        <v>2905</v>
      </c>
      <c r="E132" s="11">
        <v>878.5</v>
      </c>
      <c r="F132" s="11" t="s">
        <v>113</v>
      </c>
      <c r="G132" s="11" t="s">
        <v>2072</v>
      </c>
      <c r="H132" s="9" t="s">
        <v>181</v>
      </c>
      <c r="I132" s="9" t="s">
        <v>182</v>
      </c>
      <c r="J132" s="9" t="s">
        <v>2109</v>
      </c>
    </row>
    <row r="133" spans="1:10">
      <c r="A133" s="8">
        <v>4095</v>
      </c>
      <c r="B133" s="10" t="s">
        <v>1625</v>
      </c>
      <c r="C133" s="11" t="s">
        <v>371</v>
      </c>
      <c r="D133" s="11" t="s">
        <v>2451</v>
      </c>
      <c r="E133" s="11">
        <v>955.15</v>
      </c>
      <c r="F133" s="11" t="s">
        <v>113</v>
      </c>
      <c r="G133" s="11" t="s">
        <v>2072</v>
      </c>
      <c r="H133" s="9" t="s">
        <v>178</v>
      </c>
      <c r="I133" s="9" t="s">
        <v>179</v>
      </c>
      <c r="J133" s="9" t="s">
        <v>2073</v>
      </c>
    </row>
    <row r="134" spans="1:10">
      <c r="A134" s="8">
        <v>40382</v>
      </c>
      <c r="B134" s="10" t="s">
        <v>372</v>
      </c>
      <c r="C134" s="11" t="s">
        <v>373</v>
      </c>
      <c r="D134" s="11" t="s">
        <v>2598</v>
      </c>
      <c r="E134" s="11">
        <v>737.88</v>
      </c>
      <c r="F134" s="11" t="s">
        <v>129</v>
      </c>
      <c r="G134" s="11" t="s">
        <v>2072</v>
      </c>
      <c r="H134" s="9" t="s">
        <v>374</v>
      </c>
      <c r="I134" s="9" t="s">
        <v>375</v>
      </c>
      <c r="J134" s="9" t="s">
        <v>2118</v>
      </c>
    </row>
    <row r="135" spans="1:10">
      <c r="A135" s="8">
        <v>61791</v>
      </c>
      <c r="B135" s="10" t="s">
        <v>1626</v>
      </c>
      <c r="C135" s="11" t="s">
        <v>1174</v>
      </c>
      <c r="D135" s="11" t="s">
        <v>2906</v>
      </c>
      <c r="E135" s="11">
        <v>878.5</v>
      </c>
      <c r="F135" s="11" t="s">
        <v>113</v>
      </c>
      <c r="G135" s="11" t="s">
        <v>2072</v>
      </c>
      <c r="H135" s="9" t="s">
        <v>1175</v>
      </c>
      <c r="I135" s="9" t="s">
        <v>1176</v>
      </c>
      <c r="J135" s="9" t="s">
        <v>2168</v>
      </c>
    </row>
    <row r="136" spans="1:10">
      <c r="A136" s="8">
        <v>55476</v>
      </c>
      <c r="B136" s="10" t="s">
        <v>376</v>
      </c>
      <c r="C136" s="11" t="s">
        <v>377</v>
      </c>
      <c r="D136" s="11" t="s">
        <v>2731</v>
      </c>
      <c r="E136" s="11">
        <v>1520.04</v>
      </c>
      <c r="F136" s="11" t="s">
        <v>155</v>
      </c>
      <c r="G136" s="11" t="s">
        <v>2072</v>
      </c>
      <c r="H136" s="9" t="s">
        <v>115</v>
      </c>
      <c r="I136" s="9" t="s">
        <v>116</v>
      </c>
      <c r="J136" s="9" t="s">
        <v>2073</v>
      </c>
    </row>
    <row r="137" spans="1:10">
      <c r="A137" s="8">
        <v>62675</v>
      </c>
      <c r="B137" s="10" t="s">
        <v>1627</v>
      </c>
      <c r="C137" s="11" t="s">
        <v>1213</v>
      </c>
      <c r="D137" s="11" t="s">
        <v>2808</v>
      </c>
      <c r="E137" s="11">
        <v>955.14</v>
      </c>
      <c r="F137" s="11" t="s">
        <v>113</v>
      </c>
      <c r="G137" s="11" t="s">
        <v>2072</v>
      </c>
      <c r="H137" s="9" t="s">
        <v>153</v>
      </c>
      <c r="I137" s="9" t="s">
        <v>154</v>
      </c>
      <c r="J137" s="9" t="s">
        <v>2073</v>
      </c>
    </row>
    <row r="138" spans="1:10">
      <c r="A138" s="8">
        <v>59754</v>
      </c>
      <c r="B138" s="10" t="s">
        <v>1628</v>
      </c>
      <c r="C138" s="11" t="s">
        <v>378</v>
      </c>
      <c r="D138" s="11" t="s">
        <v>2415</v>
      </c>
      <c r="E138" s="11">
        <v>584.38</v>
      </c>
      <c r="F138" s="11" t="s">
        <v>129</v>
      </c>
      <c r="G138" s="11" t="s">
        <v>2072</v>
      </c>
      <c r="H138" s="9" t="s">
        <v>379</v>
      </c>
      <c r="I138" s="9" t="s">
        <v>380</v>
      </c>
      <c r="J138" s="9" t="s">
        <v>2166</v>
      </c>
    </row>
    <row r="139" spans="1:10">
      <c r="A139" s="8">
        <v>42864</v>
      </c>
      <c r="B139" s="10" t="s">
        <v>1629</v>
      </c>
      <c r="C139" s="11" t="s">
        <v>381</v>
      </c>
      <c r="D139" s="11" t="s">
        <v>2605</v>
      </c>
      <c r="E139" s="11">
        <v>737.88</v>
      </c>
      <c r="F139" s="11" t="s">
        <v>129</v>
      </c>
      <c r="G139" s="11" t="s">
        <v>2072</v>
      </c>
      <c r="H139" s="9" t="s">
        <v>164</v>
      </c>
      <c r="I139" s="9" t="s">
        <v>165</v>
      </c>
      <c r="J139" s="9" t="s">
        <v>2073</v>
      </c>
    </row>
    <row r="140" spans="1:10">
      <c r="A140" s="8">
        <v>29220</v>
      </c>
      <c r="B140" s="10" t="s">
        <v>1630</v>
      </c>
      <c r="C140" s="11" t="s">
        <v>383</v>
      </c>
      <c r="D140" s="11" t="s">
        <v>2545</v>
      </c>
      <c r="E140" s="11">
        <v>955.14</v>
      </c>
      <c r="F140" s="11" t="s">
        <v>113</v>
      </c>
      <c r="G140" s="11" t="s">
        <v>2072</v>
      </c>
      <c r="H140" s="9" t="s">
        <v>185</v>
      </c>
      <c r="I140" s="9" t="s">
        <v>99</v>
      </c>
      <c r="J140" s="9" t="s">
        <v>2103</v>
      </c>
    </row>
    <row r="141" spans="1:10">
      <c r="A141" s="8">
        <v>55188</v>
      </c>
      <c r="B141" s="10" t="s">
        <v>1631</v>
      </c>
      <c r="C141" s="11" t="s">
        <v>384</v>
      </c>
      <c r="D141" s="11" t="s">
        <v>2470</v>
      </c>
      <c r="E141" s="11">
        <v>714.24</v>
      </c>
      <c r="F141" s="11" t="s">
        <v>129</v>
      </c>
      <c r="G141" s="11" t="s">
        <v>2112</v>
      </c>
      <c r="H141" s="9" t="s">
        <v>385</v>
      </c>
      <c r="I141" s="9" t="s">
        <v>386</v>
      </c>
      <c r="J141" s="9" t="s">
        <v>2152</v>
      </c>
    </row>
    <row r="142" spans="1:10">
      <c r="A142" s="8">
        <v>56019</v>
      </c>
      <c r="B142" s="10" t="s">
        <v>1384</v>
      </c>
      <c r="C142" s="11" t="s">
        <v>6</v>
      </c>
      <c r="D142" s="11" t="s">
        <v>2413</v>
      </c>
      <c r="E142" s="11">
        <v>2110.38</v>
      </c>
      <c r="F142" s="11" t="s">
        <v>0</v>
      </c>
      <c r="G142" s="11" t="s">
        <v>2072</v>
      </c>
      <c r="H142" s="9" t="s">
        <v>306</v>
      </c>
      <c r="I142" s="9" t="s">
        <v>307</v>
      </c>
      <c r="J142" s="9" t="s">
        <v>2073</v>
      </c>
    </row>
    <row r="143" spans="1:10">
      <c r="A143" s="8">
        <v>54947</v>
      </c>
      <c r="B143" s="10" t="s">
        <v>1273</v>
      </c>
      <c r="C143" s="11" t="s">
        <v>387</v>
      </c>
      <c r="D143" s="11" t="s">
        <v>2722</v>
      </c>
      <c r="E143" s="11">
        <v>955.14</v>
      </c>
      <c r="F143" s="11" t="s">
        <v>113</v>
      </c>
      <c r="G143" s="11" t="s">
        <v>2072</v>
      </c>
      <c r="H143" s="9" t="s">
        <v>388</v>
      </c>
      <c r="I143" s="9" t="s">
        <v>389</v>
      </c>
      <c r="J143" s="9" t="s">
        <v>2125</v>
      </c>
    </row>
    <row r="144" spans="1:10">
      <c r="A144" s="8">
        <v>9267</v>
      </c>
      <c r="B144" s="10" t="s">
        <v>1632</v>
      </c>
      <c r="C144" s="11" t="s">
        <v>390</v>
      </c>
      <c r="D144" s="11" t="s">
        <v>2481</v>
      </c>
      <c r="E144" s="11">
        <v>1228.51</v>
      </c>
      <c r="F144" s="11" t="s">
        <v>139</v>
      </c>
      <c r="G144" s="11" t="s">
        <v>2072</v>
      </c>
      <c r="H144" s="9" t="s">
        <v>115</v>
      </c>
      <c r="I144" s="9" t="s">
        <v>116</v>
      </c>
      <c r="J144" s="9" t="s">
        <v>2073</v>
      </c>
    </row>
    <row r="145" spans="1:10">
      <c r="A145" s="8">
        <v>59688</v>
      </c>
      <c r="B145" s="10" t="s">
        <v>1633</v>
      </c>
      <c r="C145" s="11" t="s">
        <v>391</v>
      </c>
      <c r="D145" s="11" t="s">
        <v>2907</v>
      </c>
      <c r="E145" s="11">
        <v>878.5</v>
      </c>
      <c r="F145" s="11" t="s">
        <v>113</v>
      </c>
      <c r="G145" s="11" t="s">
        <v>2074</v>
      </c>
      <c r="H145" s="9" t="s">
        <v>392</v>
      </c>
      <c r="I145" s="9" t="s">
        <v>393</v>
      </c>
      <c r="J145" s="9" t="s">
        <v>2144</v>
      </c>
    </row>
    <row r="146" spans="1:10">
      <c r="A146" s="8">
        <v>64199</v>
      </c>
      <c r="B146" s="10" t="s">
        <v>1634</v>
      </c>
      <c r="C146" s="11" t="s">
        <v>1233</v>
      </c>
      <c r="D146" s="11" t="s">
        <v>2819</v>
      </c>
      <c r="E146" s="11">
        <v>737.88</v>
      </c>
      <c r="F146" s="11" t="s">
        <v>227</v>
      </c>
      <c r="G146" s="11" t="s">
        <v>2081</v>
      </c>
      <c r="H146" s="9" t="s">
        <v>115</v>
      </c>
      <c r="I146" s="9" t="s">
        <v>116</v>
      </c>
      <c r="J146" s="9" t="s">
        <v>2073</v>
      </c>
    </row>
    <row r="147" spans="1:10">
      <c r="A147" s="8">
        <v>61789</v>
      </c>
      <c r="B147" s="10" t="s">
        <v>1635</v>
      </c>
      <c r="C147" s="11" t="s">
        <v>1177</v>
      </c>
      <c r="D147" s="11" t="s">
        <v>2906</v>
      </c>
      <c r="E147" s="11">
        <v>878.5</v>
      </c>
      <c r="F147" s="11" t="s">
        <v>113</v>
      </c>
      <c r="G147" s="11" t="s">
        <v>2072</v>
      </c>
      <c r="H147" s="9" t="s">
        <v>1175</v>
      </c>
      <c r="I147" s="9" t="s">
        <v>1176</v>
      </c>
      <c r="J147" s="9" t="s">
        <v>2168</v>
      </c>
    </row>
    <row r="148" spans="1:10">
      <c r="A148" s="8">
        <v>4169</v>
      </c>
      <c r="B148" s="10" t="s">
        <v>1636</v>
      </c>
      <c r="C148" s="11" t="s">
        <v>398</v>
      </c>
      <c r="D148" s="11" t="s">
        <v>2451</v>
      </c>
      <c r="E148" s="11">
        <v>1520.04</v>
      </c>
      <c r="F148" s="11" t="s">
        <v>155</v>
      </c>
      <c r="G148" s="11" t="s">
        <v>2072</v>
      </c>
      <c r="H148" s="9" t="s">
        <v>115</v>
      </c>
      <c r="I148" s="9" t="s">
        <v>116</v>
      </c>
      <c r="J148" s="9" t="s">
        <v>2073</v>
      </c>
    </row>
    <row r="149" spans="1:10">
      <c r="A149" s="8">
        <v>48777</v>
      </c>
      <c r="B149" s="10" t="s">
        <v>1637</v>
      </c>
      <c r="C149" s="11" t="s">
        <v>399</v>
      </c>
      <c r="D149" s="11" t="s">
        <v>2640</v>
      </c>
      <c r="E149" s="11">
        <v>1140.71</v>
      </c>
      <c r="F149" s="11" t="s">
        <v>203</v>
      </c>
      <c r="G149" s="11" t="s">
        <v>2081</v>
      </c>
      <c r="H149" s="9" t="s">
        <v>178</v>
      </c>
      <c r="I149" s="9" t="s">
        <v>179</v>
      </c>
      <c r="J149" s="9" t="s">
        <v>2073</v>
      </c>
    </row>
    <row r="150" spans="1:10">
      <c r="A150" s="8">
        <v>57975</v>
      </c>
      <c r="B150" s="10" t="s">
        <v>1638</v>
      </c>
      <c r="C150" s="11" t="s">
        <v>401</v>
      </c>
      <c r="D150" s="11" t="s">
        <v>2751</v>
      </c>
      <c r="E150" s="11">
        <v>955.14</v>
      </c>
      <c r="F150" s="11" t="s">
        <v>113</v>
      </c>
      <c r="G150" s="11" t="s">
        <v>2072</v>
      </c>
      <c r="H150" s="9" t="s">
        <v>185</v>
      </c>
      <c r="I150" s="9" t="s">
        <v>99</v>
      </c>
      <c r="J150" s="9" t="s">
        <v>2103</v>
      </c>
    </row>
    <row r="151" spans="1:10">
      <c r="A151" s="8">
        <v>8295</v>
      </c>
      <c r="B151" s="10" t="s">
        <v>1639</v>
      </c>
      <c r="C151" s="11" t="s">
        <v>402</v>
      </c>
      <c r="D151" s="11" t="s">
        <v>2473</v>
      </c>
      <c r="E151" s="11">
        <v>1520.04</v>
      </c>
      <c r="F151" s="11" t="s">
        <v>155</v>
      </c>
      <c r="G151" s="11" t="s">
        <v>2072</v>
      </c>
      <c r="H151" s="9" t="s">
        <v>403</v>
      </c>
      <c r="I151" s="9" t="s">
        <v>404</v>
      </c>
      <c r="J151" s="9" t="s">
        <v>2073</v>
      </c>
    </row>
    <row r="152" spans="1:10">
      <c r="A152" s="8">
        <v>48874</v>
      </c>
      <c r="B152" s="10" t="s">
        <v>320</v>
      </c>
      <c r="C152" s="11" t="s">
        <v>405</v>
      </c>
      <c r="D152" s="11" t="s">
        <v>2642</v>
      </c>
      <c r="E152" s="11">
        <v>955.15</v>
      </c>
      <c r="F152" s="11" t="s">
        <v>406</v>
      </c>
      <c r="G152" s="11" t="s">
        <v>2072</v>
      </c>
      <c r="H152" s="9" t="s">
        <v>211</v>
      </c>
      <c r="I152" s="9" t="s">
        <v>93</v>
      </c>
      <c r="J152" s="9" t="s">
        <v>2080</v>
      </c>
    </row>
    <row r="153" spans="1:10">
      <c r="A153" s="8">
        <v>4193</v>
      </c>
      <c r="B153" s="10" t="s">
        <v>238</v>
      </c>
      <c r="C153" s="11" t="s">
        <v>407</v>
      </c>
      <c r="D153" s="11" t="s">
        <v>2451</v>
      </c>
      <c r="E153" s="11">
        <v>1520.04</v>
      </c>
      <c r="F153" s="11" t="s">
        <v>155</v>
      </c>
      <c r="G153" s="11" t="s">
        <v>2072</v>
      </c>
      <c r="H153" s="9" t="s">
        <v>234</v>
      </c>
      <c r="I153" s="9" t="s">
        <v>235</v>
      </c>
      <c r="J153" s="9" t="s">
        <v>2073</v>
      </c>
    </row>
    <row r="154" spans="1:10">
      <c r="A154" s="8">
        <v>37335</v>
      </c>
      <c r="B154" s="10" t="s">
        <v>408</v>
      </c>
      <c r="C154" s="11" t="s">
        <v>409</v>
      </c>
      <c r="D154" s="11" t="s">
        <v>2893</v>
      </c>
      <c r="E154" s="11">
        <v>178.59</v>
      </c>
      <c r="F154" s="11" t="s">
        <v>129</v>
      </c>
      <c r="G154" s="11" t="s">
        <v>2072</v>
      </c>
      <c r="H154" s="9" t="s">
        <v>410</v>
      </c>
      <c r="I154" s="9" t="s">
        <v>411</v>
      </c>
      <c r="J154" s="9" t="s">
        <v>2110</v>
      </c>
    </row>
    <row r="155" spans="1:10">
      <c r="A155" s="8">
        <v>37637</v>
      </c>
      <c r="B155" s="10" t="s">
        <v>1640</v>
      </c>
      <c r="C155" s="11" t="s">
        <v>412</v>
      </c>
      <c r="D155" s="11" t="s">
        <v>2585</v>
      </c>
      <c r="E155" s="11">
        <v>584.38</v>
      </c>
      <c r="F155" s="11" t="s">
        <v>129</v>
      </c>
      <c r="G155" s="11" t="s">
        <v>2072</v>
      </c>
      <c r="H155" s="9" t="s">
        <v>135</v>
      </c>
      <c r="I155" s="9" t="s">
        <v>84</v>
      </c>
      <c r="J155" s="9" t="s">
        <v>2104</v>
      </c>
    </row>
    <row r="156" spans="1:10">
      <c r="A156" s="8">
        <v>67056</v>
      </c>
      <c r="B156" s="10" t="s">
        <v>1641</v>
      </c>
      <c r="C156" s="11" t="s">
        <v>1642</v>
      </c>
      <c r="D156" s="11" t="s">
        <v>2852</v>
      </c>
      <c r="E156" s="11">
        <v>737.88</v>
      </c>
      <c r="F156" s="11" t="s">
        <v>111</v>
      </c>
      <c r="G156" s="11" t="s">
        <v>2072</v>
      </c>
      <c r="H156" s="9" t="s">
        <v>115</v>
      </c>
      <c r="I156" s="9" t="s">
        <v>116</v>
      </c>
      <c r="J156" s="9" t="s">
        <v>2073</v>
      </c>
    </row>
    <row r="157" spans="1:10">
      <c r="A157" s="8">
        <v>59256</v>
      </c>
      <c r="B157" s="10" t="s">
        <v>1385</v>
      </c>
      <c r="C157" s="11" t="s">
        <v>7</v>
      </c>
      <c r="D157" s="11" t="s">
        <v>2418</v>
      </c>
      <c r="E157" s="11">
        <v>2110.38</v>
      </c>
      <c r="F157" s="11" t="s">
        <v>0</v>
      </c>
      <c r="G157" s="11" t="s">
        <v>2081</v>
      </c>
      <c r="H157" s="9" t="s">
        <v>306</v>
      </c>
      <c r="I157" s="9" t="s">
        <v>307</v>
      </c>
      <c r="J157" s="9" t="s">
        <v>2073</v>
      </c>
    </row>
    <row r="158" spans="1:10">
      <c r="A158" s="8">
        <v>53540</v>
      </c>
      <c r="B158" s="10" t="s">
        <v>1643</v>
      </c>
      <c r="C158" s="11" t="s">
        <v>413</v>
      </c>
      <c r="D158" s="11" t="s">
        <v>2438</v>
      </c>
      <c r="E158" s="11">
        <v>955.14</v>
      </c>
      <c r="F158" s="11" t="s">
        <v>113</v>
      </c>
      <c r="G158" s="11" t="s">
        <v>2072</v>
      </c>
      <c r="H158" s="9" t="s">
        <v>115</v>
      </c>
      <c r="I158" s="9" t="s">
        <v>116</v>
      </c>
      <c r="J158" s="9" t="s">
        <v>2073</v>
      </c>
    </row>
    <row r="159" spans="1:10">
      <c r="A159" s="8">
        <v>63852</v>
      </c>
      <c r="B159" s="10" t="s">
        <v>1386</v>
      </c>
      <c r="C159" s="11" t="s">
        <v>414</v>
      </c>
      <c r="D159" s="11" t="s">
        <v>2908</v>
      </c>
      <c r="E159" s="11">
        <v>2110.38</v>
      </c>
      <c r="F159" s="11" t="s">
        <v>0</v>
      </c>
      <c r="G159" s="11" t="s">
        <v>2072</v>
      </c>
      <c r="H159" s="9" t="s">
        <v>306</v>
      </c>
      <c r="I159" s="9" t="s">
        <v>307</v>
      </c>
      <c r="J159" s="9" t="s">
        <v>2075</v>
      </c>
    </row>
    <row r="160" spans="1:10">
      <c r="A160" s="8">
        <v>56100</v>
      </c>
      <c r="B160" s="10" t="s">
        <v>1387</v>
      </c>
      <c r="C160" s="11" t="s">
        <v>92</v>
      </c>
      <c r="D160" s="11" t="s">
        <v>2413</v>
      </c>
      <c r="E160" s="11">
        <v>2110.38</v>
      </c>
      <c r="F160" s="11" t="s">
        <v>0</v>
      </c>
      <c r="G160" s="11" t="s">
        <v>2072</v>
      </c>
      <c r="H160" s="9" t="s">
        <v>416</v>
      </c>
      <c r="I160" s="9" t="s">
        <v>417</v>
      </c>
      <c r="J160" s="9" t="s">
        <v>2080</v>
      </c>
    </row>
    <row r="161" spans="1:10">
      <c r="A161" s="8">
        <v>20848</v>
      </c>
      <c r="B161" s="10" t="s">
        <v>1644</v>
      </c>
      <c r="C161" s="11" t="s">
        <v>418</v>
      </c>
      <c r="D161" s="11" t="s">
        <v>2512</v>
      </c>
      <c r="E161" s="11">
        <v>1520.04</v>
      </c>
      <c r="F161" s="11" t="s">
        <v>155</v>
      </c>
      <c r="G161" s="11" t="s">
        <v>2072</v>
      </c>
      <c r="H161" s="9" t="s">
        <v>115</v>
      </c>
      <c r="I161" s="9" t="s">
        <v>116</v>
      </c>
      <c r="J161" s="9" t="s">
        <v>2073</v>
      </c>
    </row>
    <row r="162" spans="1:10">
      <c r="A162" s="8">
        <v>59133</v>
      </c>
      <c r="B162" s="10" t="s">
        <v>1645</v>
      </c>
      <c r="C162" s="11" t="s">
        <v>419</v>
      </c>
      <c r="D162" s="11" t="s">
        <v>2768</v>
      </c>
      <c r="E162" s="11">
        <v>737.88</v>
      </c>
      <c r="F162" s="11" t="s">
        <v>420</v>
      </c>
      <c r="G162" s="11" t="s">
        <v>2072</v>
      </c>
      <c r="H162" s="9" t="s">
        <v>131</v>
      </c>
      <c r="I162" s="9" t="s">
        <v>132</v>
      </c>
      <c r="J162" s="9" t="s">
        <v>2073</v>
      </c>
    </row>
    <row r="163" spans="1:10">
      <c r="A163" s="8">
        <v>67580</v>
      </c>
      <c r="B163" s="10" t="s">
        <v>2211</v>
      </c>
      <c r="C163" s="11" t="s">
        <v>2183</v>
      </c>
      <c r="D163" s="11" t="s">
        <v>2862</v>
      </c>
      <c r="E163" s="11">
        <v>955.14</v>
      </c>
      <c r="F163" s="11" t="s">
        <v>113</v>
      </c>
      <c r="G163" s="11" t="s">
        <v>2072</v>
      </c>
      <c r="H163" s="9" t="s">
        <v>331</v>
      </c>
      <c r="I163" s="9" t="s">
        <v>332</v>
      </c>
      <c r="J163" s="9" t="s">
        <v>2073</v>
      </c>
    </row>
    <row r="164" spans="1:10">
      <c r="A164" s="8">
        <v>59103</v>
      </c>
      <c r="B164" s="10" t="s">
        <v>1394</v>
      </c>
      <c r="C164" s="11" t="s">
        <v>73</v>
      </c>
      <c r="D164" s="11" t="s">
        <v>2607</v>
      </c>
      <c r="E164" s="11">
        <v>2110.38</v>
      </c>
      <c r="F164" s="11" t="s">
        <v>0</v>
      </c>
      <c r="G164" s="11" t="s">
        <v>2074</v>
      </c>
      <c r="H164" s="9" t="s">
        <v>421</v>
      </c>
      <c r="I164" s="9" t="s">
        <v>422</v>
      </c>
      <c r="J164" s="9" t="s">
        <v>2086</v>
      </c>
    </row>
    <row r="165" spans="1:10">
      <c r="A165" s="8">
        <v>52428</v>
      </c>
      <c r="B165" s="10" t="s">
        <v>1646</v>
      </c>
      <c r="C165" s="11" t="s">
        <v>424</v>
      </c>
      <c r="D165" s="11" t="s">
        <v>2683</v>
      </c>
      <c r="E165" s="11">
        <v>737.88</v>
      </c>
      <c r="F165" s="11" t="s">
        <v>129</v>
      </c>
      <c r="G165" s="11" t="s">
        <v>2072</v>
      </c>
      <c r="H165" s="9" t="s">
        <v>212</v>
      </c>
      <c r="I165" s="9" t="s">
        <v>213</v>
      </c>
      <c r="J165" s="9" t="s">
        <v>2073</v>
      </c>
    </row>
    <row r="166" spans="1:10">
      <c r="A166" s="8">
        <v>28367</v>
      </c>
      <c r="B166" s="10" t="s">
        <v>328</v>
      </c>
      <c r="C166" s="11" t="s">
        <v>425</v>
      </c>
      <c r="D166" s="11" t="s">
        <v>2537</v>
      </c>
      <c r="E166" s="11">
        <v>737.88</v>
      </c>
      <c r="F166" s="11" t="s">
        <v>129</v>
      </c>
      <c r="G166" s="11" t="s">
        <v>2072</v>
      </c>
      <c r="H166" s="9" t="s">
        <v>326</v>
      </c>
      <c r="I166" s="9" t="s">
        <v>327</v>
      </c>
      <c r="J166" s="9" t="s">
        <v>2079</v>
      </c>
    </row>
    <row r="167" spans="1:10">
      <c r="A167" s="8">
        <v>68780</v>
      </c>
      <c r="B167" s="10" t="s">
        <v>2324</v>
      </c>
      <c r="C167" s="11" t="s">
        <v>2325</v>
      </c>
      <c r="D167" s="11" t="s">
        <v>2452</v>
      </c>
      <c r="E167" s="11">
        <v>714.24</v>
      </c>
      <c r="F167" s="11" t="s">
        <v>129</v>
      </c>
      <c r="G167" s="11" t="s">
        <v>2085</v>
      </c>
      <c r="H167" s="9" t="s">
        <v>388</v>
      </c>
      <c r="I167" s="9" t="s">
        <v>389</v>
      </c>
      <c r="J167" s="9" t="s">
        <v>2125</v>
      </c>
    </row>
    <row r="168" spans="1:10">
      <c r="A168" s="8">
        <v>28677</v>
      </c>
      <c r="B168" s="10" t="s">
        <v>426</v>
      </c>
      <c r="C168" s="11" t="s">
        <v>427</v>
      </c>
      <c r="D168" s="11" t="s">
        <v>2540</v>
      </c>
      <c r="E168" s="11">
        <v>737.88</v>
      </c>
      <c r="F168" s="11" t="s">
        <v>129</v>
      </c>
      <c r="G168" s="11" t="s">
        <v>2072</v>
      </c>
      <c r="H168" s="9" t="s">
        <v>428</v>
      </c>
      <c r="I168" s="9" t="s">
        <v>429</v>
      </c>
      <c r="J168" s="9" t="s">
        <v>2101</v>
      </c>
    </row>
    <row r="169" spans="1:10">
      <c r="A169" s="8">
        <v>30799</v>
      </c>
      <c r="B169" s="10" t="s">
        <v>1647</v>
      </c>
      <c r="C169" s="11" t="s">
        <v>431</v>
      </c>
      <c r="D169" s="11" t="s">
        <v>2551</v>
      </c>
      <c r="E169" s="11">
        <v>737.88</v>
      </c>
      <c r="F169" s="11" t="s">
        <v>129</v>
      </c>
      <c r="G169" s="11" t="s">
        <v>2072</v>
      </c>
      <c r="H169" s="9" t="s">
        <v>115</v>
      </c>
      <c r="I169" s="9" t="s">
        <v>116</v>
      </c>
      <c r="J169" s="9" t="s">
        <v>2073</v>
      </c>
    </row>
    <row r="170" spans="1:10">
      <c r="A170" s="8">
        <v>7296</v>
      </c>
      <c r="B170" s="10" t="s">
        <v>1648</v>
      </c>
      <c r="C170" s="11" t="s">
        <v>432</v>
      </c>
      <c r="D170" s="11" t="s">
        <v>2465</v>
      </c>
      <c r="E170" s="11">
        <v>1520.04</v>
      </c>
      <c r="F170" s="11" t="s">
        <v>155</v>
      </c>
      <c r="G170" s="11" t="s">
        <v>2072</v>
      </c>
      <c r="H170" s="9" t="s">
        <v>366</v>
      </c>
      <c r="I170" s="9" t="s">
        <v>367</v>
      </c>
      <c r="J170" s="9" t="s">
        <v>2073</v>
      </c>
    </row>
    <row r="171" spans="1:10">
      <c r="A171" s="8">
        <v>23193</v>
      </c>
      <c r="B171" s="10" t="s">
        <v>433</v>
      </c>
      <c r="C171" s="11" t="s">
        <v>434</v>
      </c>
      <c r="D171" s="11" t="s">
        <v>2909</v>
      </c>
      <c r="E171" s="11">
        <v>584.38</v>
      </c>
      <c r="F171" s="11" t="s">
        <v>129</v>
      </c>
      <c r="G171" s="11" t="s">
        <v>2072</v>
      </c>
      <c r="H171" s="9" t="s">
        <v>435</v>
      </c>
      <c r="I171" s="9" t="s">
        <v>436</v>
      </c>
      <c r="J171" s="9" t="s">
        <v>2091</v>
      </c>
    </row>
    <row r="172" spans="1:10">
      <c r="A172" s="8">
        <v>59815</v>
      </c>
      <c r="B172" s="10" t="s">
        <v>1649</v>
      </c>
      <c r="C172" s="11" t="s">
        <v>440</v>
      </c>
      <c r="D172" s="11" t="s">
        <v>2775</v>
      </c>
      <c r="E172" s="11">
        <v>1228.51</v>
      </c>
      <c r="F172" s="11" t="s">
        <v>139</v>
      </c>
      <c r="G172" s="11" t="s">
        <v>2072</v>
      </c>
      <c r="H172" s="9" t="s">
        <v>146</v>
      </c>
      <c r="I172" s="9" t="s">
        <v>4</v>
      </c>
      <c r="J172" s="9" t="s">
        <v>2073</v>
      </c>
    </row>
    <row r="173" spans="1:10">
      <c r="A173" s="8">
        <v>56043</v>
      </c>
      <c r="B173" s="10" t="s">
        <v>1398</v>
      </c>
      <c r="C173" s="11" t="s">
        <v>8</v>
      </c>
      <c r="D173" s="11" t="s">
        <v>2413</v>
      </c>
      <c r="E173" s="11">
        <v>2110.38</v>
      </c>
      <c r="F173" s="11" t="s">
        <v>0</v>
      </c>
      <c r="G173" s="11" t="s">
        <v>2072</v>
      </c>
      <c r="H173" s="9" t="s">
        <v>306</v>
      </c>
      <c r="I173" s="9" t="s">
        <v>307</v>
      </c>
      <c r="J173" s="9" t="s">
        <v>2073</v>
      </c>
    </row>
    <row r="174" spans="1:10">
      <c r="A174" s="8">
        <v>56094</v>
      </c>
      <c r="B174" s="10" t="s">
        <v>1399</v>
      </c>
      <c r="C174" s="11" t="s">
        <v>65</v>
      </c>
      <c r="D174" s="11" t="s">
        <v>2413</v>
      </c>
      <c r="E174" s="11">
        <v>2110.38</v>
      </c>
      <c r="F174" s="11" t="s">
        <v>0</v>
      </c>
      <c r="G174" s="11" t="s">
        <v>2072</v>
      </c>
      <c r="H174" s="9" t="s">
        <v>441</v>
      </c>
      <c r="I174" s="9" t="s">
        <v>442</v>
      </c>
      <c r="J174" s="9" t="s">
        <v>2088</v>
      </c>
    </row>
    <row r="175" spans="1:10">
      <c r="A175" s="8">
        <v>29800</v>
      </c>
      <c r="B175" s="10" t="s">
        <v>443</v>
      </c>
      <c r="C175" s="11" t="s">
        <v>444</v>
      </c>
      <c r="D175" s="11" t="s">
        <v>2547</v>
      </c>
      <c r="E175" s="11">
        <v>737.88</v>
      </c>
      <c r="F175" s="11" t="s">
        <v>129</v>
      </c>
      <c r="G175" s="11" t="s">
        <v>2072</v>
      </c>
      <c r="H175" s="9" t="s">
        <v>185</v>
      </c>
      <c r="I175" s="9" t="s">
        <v>99</v>
      </c>
      <c r="J175" s="9" t="s">
        <v>2103</v>
      </c>
    </row>
    <row r="176" spans="1:10">
      <c r="A176" s="8">
        <v>8710</v>
      </c>
      <c r="B176" s="10" t="s">
        <v>239</v>
      </c>
      <c r="C176" s="11" t="s">
        <v>446</v>
      </c>
      <c r="D176" s="11" t="s">
        <v>2478</v>
      </c>
      <c r="E176" s="11">
        <v>1520.04</v>
      </c>
      <c r="F176" s="11" t="s">
        <v>155</v>
      </c>
      <c r="G176" s="11" t="s">
        <v>2072</v>
      </c>
      <c r="H176" s="9" t="s">
        <v>211</v>
      </c>
      <c r="I176" s="9" t="s">
        <v>93</v>
      </c>
      <c r="J176" s="9" t="s">
        <v>2080</v>
      </c>
    </row>
    <row r="177" spans="1:10">
      <c r="A177" s="8">
        <v>54949</v>
      </c>
      <c r="B177" s="10" t="s">
        <v>1650</v>
      </c>
      <c r="C177" s="11" t="s">
        <v>447</v>
      </c>
      <c r="D177" s="11" t="s">
        <v>2910</v>
      </c>
      <c r="E177" s="11">
        <v>714.24</v>
      </c>
      <c r="F177" s="11" t="s">
        <v>122</v>
      </c>
      <c r="G177" s="11" t="s">
        <v>2072</v>
      </c>
      <c r="H177" s="9" t="s">
        <v>448</v>
      </c>
      <c r="I177" s="9" t="s">
        <v>449</v>
      </c>
      <c r="J177" s="9" t="s">
        <v>2134</v>
      </c>
    </row>
    <row r="178" spans="1:10">
      <c r="A178" s="8">
        <v>68410</v>
      </c>
      <c r="B178" s="10" t="s">
        <v>2266</v>
      </c>
      <c r="C178" s="11" t="s">
        <v>2267</v>
      </c>
      <c r="D178" s="11" t="s">
        <v>2859</v>
      </c>
      <c r="E178" s="11">
        <v>955.14</v>
      </c>
      <c r="F178" s="11" t="s">
        <v>113</v>
      </c>
      <c r="G178" s="11" t="s">
        <v>2072</v>
      </c>
      <c r="H178" s="9" t="s">
        <v>234</v>
      </c>
      <c r="I178" s="9" t="s">
        <v>235</v>
      </c>
      <c r="J178" s="9" t="s">
        <v>2073</v>
      </c>
    </row>
    <row r="179" spans="1:10">
      <c r="A179" s="8">
        <v>64555</v>
      </c>
      <c r="B179" s="10" t="s">
        <v>1651</v>
      </c>
      <c r="C179" s="11" t="s">
        <v>1234</v>
      </c>
      <c r="D179" s="11" t="s">
        <v>2824</v>
      </c>
      <c r="E179" s="11">
        <v>737.88</v>
      </c>
      <c r="F179" s="11" t="s">
        <v>258</v>
      </c>
      <c r="G179" s="11" t="s">
        <v>2072</v>
      </c>
      <c r="H179" s="9" t="s">
        <v>243</v>
      </c>
      <c r="I179" s="9" t="s">
        <v>244</v>
      </c>
      <c r="J179" s="9" t="s">
        <v>2073</v>
      </c>
    </row>
    <row r="180" spans="1:10">
      <c r="A180" s="8">
        <v>62084</v>
      </c>
      <c r="B180" s="10" t="s">
        <v>1652</v>
      </c>
      <c r="C180" s="11" t="s">
        <v>1194</v>
      </c>
      <c r="D180" s="11" t="s">
        <v>2791</v>
      </c>
      <c r="E180" s="11">
        <v>737.88</v>
      </c>
      <c r="F180" s="11" t="s">
        <v>122</v>
      </c>
      <c r="G180" s="11" t="s">
        <v>2085</v>
      </c>
      <c r="H180" s="9" t="s">
        <v>277</v>
      </c>
      <c r="I180" s="9" t="s">
        <v>53</v>
      </c>
      <c r="J180" s="9" t="s">
        <v>2075</v>
      </c>
    </row>
    <row r="181" spans="1:10">
      <c r="A181" s="8">
        <v>68043</v>
      </c>
      <c r="B181" s="10" t="s">
        <v>2212</v>
      </c>
      <c r="C181" s="11" t="s">
        <v>2213</v>
      </c>
      <c r="D181" s="11" t="s">
        <v>2868</v>
      </c>
      <c r="E181" s="11">
        <v>955.14</v>
      </c>
      <c r="F181" s="11" t="s">
        <v>113</v>
      </c>
      <c r="G181" s="11" t="s">
        <v>2072</v>
      </c>
      <c r="H181" s="9" t="s">
        <v>169</v>
      </c>
      <c r="I181" s="9" t="s">
        <v>66</v>
      </c>
      <c r="J181" s="9" t="s">
        <v>2088</v>
      </c>
    </row>
    <row r="182" spans="1:10">
      <c r="A182" s="8">
        <v>53090</v>
      </c>
      <c r="B182" s="10" t="s">
        <v>1653</v>
      </c>
      <c r="C182" s="11" t="s">
        <v>453</v>
      </c>
      <c r="D182" s="11" t="s">
        <v>2692</v>
      </c>
      <c r="E182" s="11">
        <v>878.5</v>
      </c>
      <c r="F182" s="11" t="s">
        <v>113</v>
      </c>
      <c r="G182" s="11" t="s">
        <v>2072</v>
      </c>
      <c r="H182" s="9" t="s">
        <v>454</v>
      </c>
      <c r="I182" s="9" t="s">
        <v>51</v>
      </c>
      <c r="J182" s="9" t="s">
        <v>2097</v>
      </c>
    </row>
    <row r="183" spans="1:10">
      <c r="A183" s="8">
        <v>56131</v>
      </c>
      <c r="B183" s="10" t="s">
        <v>455</v>
      </c>
      <c r="C183" s="11" t="s">
        <v>58</v>
      </c>
      <c r="D183" s="11" t="s">
        <v>2413</v>
      </c>
      <c r="E183" s="11">
        <v>2110.38</v>
      </c>
      <c r="F183" s="11" t="s">
        <v>0</v>
      </c>
      <c r="G183" s="11" t="s">
        <v>2072</v>
      </c>
      <c r="H183" s="9" t="s">
        <v>456</v>
      </c>
      <c r="I183" s="9" t="s">
        <v>457</v>
      </c>
      <c r="J183" s="9" t="s">
        <v>2079</v>
      </c>
    </row>
    <row r="184" spans="1:10">
      <c r="A184" s="8">
        <v>56045</v>
      </c>
      <c r="B184" s="10" t="s">
        <v>1406</v>
      </c>
      <c r="C184" s="11" t="s">
        <v>48</v>
      </c>
      <c r="D184" s="11" t="s">
        <v>2413</v>
      </c>
      <c r="E184" s="11">
        <v>2110.38</v>
      </c>
      <c r="F184" s="11" t="s">
        <v>0</v>
      </c>
      <c r="G184" s="11" t="s">
        <v>2072</v>
      </c>
      <c r="H184" s="9" t="s">
        <v>459</v>
      </c>
      <c r="I184" s="9" t="s">
        <v>460</v>
      </c>
      <c r="J184" s="9" t="s">
        <v>2077</v>
      </c>
    </row>
    <row r="185" spans="1:10">
      <c r="A185" s="8">
        <v>14784</v>
      </c>
      <c r="B185" s="10" t="s">
        <v>1654</v>
      </c>
      <c r="C185" s="11" t="s">
        <v>461</v>
      </c>
      <c r="D185" s="11" t="s">
        <v>2911</v>
      </c>
      <c r="E185" s="11">
        <v>1520.04</v>
      </c>
      <c r="F185" s="11" t="s">
        <v>155</v>
      </c>
      <c r="G185" s="11" t="s">
        <v>2081</v>
      </c>
      <c r="H185" s="9" t="s">
        <v>142</v>
      </c>
      <c r="I185" s="9" t="s">
        <v>143</v>
      </c>
      <c r="J185" s="9" t="s">
        <v>2073</v>
      </c>
    </row>
    <row r="186" spans="1:10">
      <c r="A186" s="8">
        <v>27906</v>
      </c>
      <c r="B186" s="10" t="s">
        <v>462</v>
      </c>
      <c r="C186" s="11" t="s">
        <v>463</v>
      </c>
      <c r="D186" s="11" t="s">
        <v>2536</v>
      </c>
      <c r="E186" s="11">
        <v>1520.04</v>
      </c>
      <c r="F186" s="11" t="s">
        <v>155</v>
      </c>
      <c r="G186" s="11" t="s">
        <v>2072</v>
      </c>
      <c r="H186" s="9" t="s">
        <v>115</v>
      </c>
      <c r="I186" s="9" t="s">
        <v>116</v>
      </c>
      <c r="J186" s="9" t="s">
        <v>2073</v>
      </c>
    </row>
    <row r="187" spans="1:10">
      <c r="A187" s="8">
        <v>54868</v>
      </c>
      <c r="B187" s="10" t="s">
        <v>1346</v>
      </c>
      <c r="C187" s="11" t="s">
        <v>464</v>
      </c>
      <c r="D187" s="11" t="s">
        <v>2720</v>
      </c>
      <c r="E187" s="11">
        <v>1520.04</v>
      </c>
      <c r="F187" s="11" t="s">
        <v>155</v>
      </c>
      <c r="G187" s="11" t="s">
        <v>2072</v>
      </c>
      <c r="H187" s="9" t="s">
        <v>211</v>
      </c>
      <c r="I187" s="9" t="s">
        <v>93</v>
      </c>
      <c r="J187" s="9" t="s">
        <v>2080</v>
      </c>
    </row>
    <row r="188" spans="1:10">
      <c r="A188" s="8">
        <v>14977</v>
      </c>
      <c r="B188" s="10" t="s">
        <v>1655</v>
      </c>
      <c r="C188" s="11" t="s">
        <v>468</v>
      </c>
      <c r="D188" s="11" t="s">
        <v>2491</v>
      </c>
      <c r="E188" s="11">
        <v>1520.04</v>
      </c>
      <c r="F188" s="11" t="s">
        <v>155</v>
      </c>
      <c r="G188" s="11" t="s">
        <v>2072</v>
      </c>
      <c r="H188" s="9" t="s">
        <v>146</v>
      </c>
      <c r="I188" s="9" t="s">
        <v>4</v>
      </c>
      <c r="J188" s="9" t="s">
        <v>2073</v>
      </c>
    </row>
    <row r="189" spans="1:10">
      <c r="A189" s="8">
        <v>61389</v>
      </c>
      <c r="B189" s="10" t="s">
        <v>1656</v>
      </c>
      <c r="C189" s="11" t="s">
        <v>469</v>
      </c>
      <c r="D189" s="11" t="s">
        <v>2794</v>
      </c>
      <c r="E189" s="11">
        <v>822.96</v>
      </c>
      <c r="F189" s="11" t="s">
        <v>133</v>
      </c>
      <c r="G189" s="11" t="s">
        <v>2072</v>
      </c>
      <c r="H189" s="9" t="s">
        <v>211</v>
      </c>
      <c r="I189" s="9" t="s">
        <v>93</v>
      </c>
      <c r="J189" s="9" t="s">
        <v>2080</v>
      </c>
    </row>
    <row r="190" spans="1:10">
      <c r="A190" s="8">
        <v>51287</v>
      </c>
      <c r="B190" s="10" t="s">
        <v>1657</v>
      </c>
      <c r="C190" s="11" t="s">
        <v>470</v>
      </c>
      <c r="D190" s="11" t="s">
        <v>2666</v>
      </c>
      <c r="E190" s="11">
        <v>1991.68</v>
      </c>
      <c r="F190" s="11" t="s">
        <v>471</v>
      </c>
      <c r="G190" s="11" t="s">
        <v>2074</v>
      </c>
      <c r="H190" s="9" t="s">
        <v>146</v>
      </c>
      <c r="I190" s="9" t="s">
        <v>4</v>
      </c>
      <c r="J190" s="9" t="s">
        <v>2073</v>
      </c>
    </row>
    <row r="191" spans="1:10">
      <c r="A191" s="8">
        <v>63711</v>
      </c>
      <c r="B191" s="10" t="s">
        <v>1658</v>
      </c>
      <c r="C191" s="11" t="s">
        <v>1217</v>
      </c>
      <c r="D191" s="11" t="s">
        <v>2813</v>
      </c>
      <c r="E191" s="11">
        <v>955.14</v>
      </c>
      <c r="F191" s="11" t="s">
        <v>113</v>
      </c>
      <c r="G191" s="11" t="s">
        <v>2072</v>
      </c>
      <c r="H191" s="9" t="s">
        <v>153</v>
      </c>
      <c r="I191" s="9" t="s">
        <v>154</v>
      </c>
      <c r="J191" s="9" t="s">
        <v>2073</v>
      </c>
    </row>
    <row r="192" spans="1:10">
      <c r="A192" s="8">
        <v>53988</v>
      </c>
      <c r="B192" s="10" t="s">
        <v>1659</v>
      </c>
      <c r="C192" s="11" t="s">
        <v>474</v>
      </c>
      <c r="D192" s="11" t="s">
        <v>2705</v>
      </c>
      <c r="E192" s="11">
        <v>1835.61</v>
      </c>
      <c r="F192" s="11" t="s">
        <v>475</v>
      </c>
      <c r="G192" s="11" t="s">
        <v>2072</v>
      </c>
      <c r="H192" s="9" t="s">
        <v>115</v>
      </c>
      <c r="I192" s="9" t="s">
        <v>116</v>
      </c>
      <c r="J192" s="9" t="s">
        <v>2073</v>
      </c>
    </row>
    <row r="193" spans="1:10">
      <c r="A193" s="8">
        <v>32628</v>
      </c>
      <c r="B193" s="10" t="s">
        <v>1660</v>
      </c>
      <c r="C193" s="11" t="s">
        <v>476</v>
      </c>
      <c r="D193" s="11" t="s">
        <v>2561</v>
      </c>
      <c r="E193" s="11">
        <v>1520.04</v>
      </c>
      <c r="F193" s="11" t="s">
        <v>155</v>
      </c>
      <c r="G193" s="11" t="s">
        <v>2072</v>
      </c>
      <c r="H193" s="9" t="s">
        <v>164</v>
      </c>
      <c r="I193" s="9" t="s">
        <v>165</v>
      </c>
      <c r="J193" s="9" t="s">
        <v>2073</v>
      </c>
    </row>
    <row r="194" spans="1:10">
      <c r="A194" s="8">
        <v>50522</v>
      </c>
      <c r="B194" s="10" t="s">
        <v>1661</v>
      </c>
      <c r="C194" s="11" t="s">
        <v>477</v>
      </c>
      <c r="D194" s="11" t="s">
        <v>2655</v>
      </c>
      <c r="E194" s="11">
        <v>1036.3900000000001</v>
      </c>
      <c r="F194" s="11" t="s">
        <v>155</v>
      </c>
      <c r="G194" s="11" t="s">
        <v>2072</v>
      </c>
      <c r="H194" s="9" t="s">
        <v>234</v>
      </c>
      <c r="I194" s="9" t="s">
        <v>235</v>
      </c>
      <c r="J194" s="9" t="s">
        <v>2073</v>
      </c>
    </row>
    <row r="195" spans="1:10">
      <c r="A195" s="8">
        <v>56329</v>
      </c>
      <c r="B195" s="10" t="s">
        <v>1410</v>
      </c>
      <c r="C195" s="11" t="s">
        <v>63</v>
      </c>
      <c r="D195" s="11" t="s">
        <v>2413</v>
      </c>
      <c r="E195" s="11">
        <v>2110.38</v>
      </c>
      <c r="F195" s="11" t="s">
        <v>0</v>
      </c>
      <c r="G195" s="11" t="s">
        <v>2072</v>
      </c>
      <c r="H195" s="9" t="s">
        <v>478</v>
      </c>
      <c r="I195" s="9" t="s">
        <v>479</v>
      </c>
      <c r="J195" s="9" t="s">
        <v>2083</v>
      </c>
    </row>
    <row r="196" spans="1:10">
      <c r="A196" s="8">
        <v>4172</v>
      </c>
      <c r="B196" s="10" t="s">
        <v>1662</v>
      </c>
      <c r="C196" s="11" t="s">
        <v>480</v>
      </c>
      <c r="D196" s="11" t="s">
        <v>2451</v>
      </c>
      <c r="E196" s="11">
        <v>1520.04</v>
      </c>
      <c r="F196" s="11" t="s">
        <v>155</v>
      </c>
      <c r="G196" s="11" t="s">
        <v>2072</v>
      </c>
      <c r="H196" s="9" t="s">
        <v>366</v>
      </c>
      <c r="I196" s="9" t="s">
        <v>367</v>
      </c>
      <c r="J196" s="9" t="s">
        <v>2073</v>
      </c>
    </row>
    <row r="197" spans="1:10">
      <c r="A197" s="8">
        <v>5941</v>
      </c>
      <c r="B197" s="10" t="s">
        <v>1663</v>
      </c>
      <c r="C197" s="11" t="s">
        <v>484</v>
      </c>
      <c r="D197" s="11" t="s">
        <v>2460</v>
      </c>
      <c r="E197" s="11">
        <v>1520.05</v>
      </c>
      <c r="F197" s="11" t="s">
        <v>155</v>
      </c>
      <c r="G197" s="11" t="s">
        <v>2072</v>
      </c>
      <c r="H197" s="9" t="s">
        <v>146</v>
      </c>
      <c r="I197" s="9" t="s">
        <v>4</v>
      </c>
      <c r="J197" s="9" t="s">
        <v>2073</v>
      </c>
    </row>
    <row r="198" spans="1:10">
      <c r="A198" s="8">
        <v>61455</v>
      </c>
      <c r="B198" s="10" t="s">
        <v>1664</v>
      </c>
      <c r="C198" s="11" t="s">
        <v>486</v>
      </c>
      <c r="D198" s="11" t="s">
        <v>2796</v>
      </c>
      <c r="E198" s="11">
        <v>1093.3699999999999</v>
      </c>
      <c r="F198" s="11" t="s">
        <v>117</v>
      </c>
      <c r="G198" s="11" t="s">
        <v>2072</v>
      </c>
      <c r="H198" s="9" t="s">
        <v>146</v>
      </c>
      <c r="I198" s="9" t="s">
        <v>4</v>
      </c>
      <c r="J198" s="9" t="s">
        <v>2073</v>
      </c>
    </row>
    <row r="199" spans="1:10">
      <c r="A199" s="8">
        <v>33334</v>
      </c>
      <c r="B199" s="10" t="s">
        <v>1665</v>
      </c>
      <c r="C199" s="11" t="s">
        <v>487</v>
      </c>
      <c r="D199" s="11" t="s">
        <v>2568</v>
      </c>
      <c r="E199" s="11">
        <v>1520.04</v>
      </c>
      <c r="F199" s="11" t="s">
        <v>155</v>
      </c>
      <c r="G199" s="11" t="s">
        <v>2072</v>
      </c>
      <c r="H199" s="9" t="s">
        <v>146</v>
      </c>
      <c r="I199" s="9" t="s">
        <v>4</v>
      </c>
      <c r="J199" s="9" t="s">
        <v>2073</v>
      </c>
    </row>
    <row r="200" spans="1:10">
      <c r="A200" s="8">
        <v>58621</v>
      </c>
      <c r="B200" s="10" t="s">
        <v>488</v>
      </c>
      <c r="C200" s="11" t="s">
        <v>489</v>
      </c>
      <c r="D200" s="11" t="s">
        <v>2761</v>
      </c>
      <c r="E200" s="11">
        <v>737.88</v>
      </c>
      <c r="F200" s="11" t="s">
        <v>420</v>
      </c>
      <c r="G200" s="11" t="s">
        <v>2159</v>
      </c>
      <c r="H200" s="9" t="s">
        <v>131</v>
      </c>
      <c r="I200" s="9" t="s">
        <v>132</v>
      </c>
      <c r="J200" s="9" t="s">
        <v>2073</v>
      </c>
    </row>
    <row r="201" spans="1:10">
      <c r="A201" s="8">
        <v>66265</v>
      </c>
      <c r="B201" s="10" t="s">
        <v>1414</v>
      </c>
      <c r="C201" s="11" t="s">
        <v>1307</v>
      </c>
      <c r="D201" s="11" t="s">
        <v>2422</v>
      </c>
      <c r="E201" s="11">
        <v>2110.38</v>
      </c>
      <c r="F201" s="11" t="s">
        <v>0</v>
      </c>
      <c r="G201" s="11" t="s">
        <v>2072</v>
      </c>
      <c r="H201" s="9" t="s">
        <v>306</v>
      </c>
      <c r="I201" s="9" t="s">
        <v>307</v>
      </c>
      <c r="J201" s="9" t="s">
        <v>2073</v>
      </c>
    </row>
    <row r="202" spans="1:10">
      <c r="A202" s="8">
        <v>57991</v>
      </c>
      <c r="B202" s="10" t="s">
        <v>1274</v>
      </c>
      <c r="C202" s="11" t="s">
        <v>490</v>
      </c>
      <c r="D202" s="11" t="s">
        <v>2492</v>
      </c>
      <c r="E202" s="11">
        <v>878.5</v>
      </c>
      <c r="F202" s="11" t="s">
        <v>113</v>
      </c>
      <c r="G202" s="11" t="s">
        <v>2072</v>
      </c>
      <c r="H202" s="9" t="s">
        <v>322</v>
      </c>
      <c r="I202" s="9" t="s">
        <v>323</v>
      </c>
      <c r="J202" s="9" t="s">
        <v>2114</v>
      </c>
    </row>
    <row r="203" spans="1:10">
      <c r="A203" s="8">
        <v>53078</v>
      </c>
      <c r="B203" s="10" t="s">
        <v>1666</v>
      </c>
      <c r="C203" s="11" t="s">
        <v>491</v>
      </c>
      <c r="D203" s="11" t="s">
        <v>2695</v>
      </c>
      <c r="E203" s="11">
        <v>1228.51</v>
      </c>
      <c r="F203" s="11" t="s">
        <v>139</v>
      </c>
      <c r="G203" s="11" t="s">
        <v>2072</v>
      </c>
      <c r="H203" s="9" t="s">
        <v>146</v>
      </c>
      <c r="I203" s="9" t="s">
        <v>4</v>
      </c>
      <c r="J203" s="9" t="s">
        <v>2073</v>
      </c>
    </row>
    <row r="204" spans="1:10">
      <c r="A204" s="8">
        <v>52842</v>
      </c>
      <c r="B204" s="10" t="s">
        <v>1667</v>
      </c>
      <c r="C204" s="11" t="s">
        <v>492</v>
      </c>
      <c r="D204" s="11" t="s">
        <v>2687</v>
      </c>
      <c r="E204" s="11">
        <v>603.73</v>
      </c>
      <c r="F204" s="11" t="s">
        <v>129</v>
      </c>
      <c r="G204" s="11" t="s">
        <v>2072</v>
      </c>
      <c r="H204" s="9" t="s">
        <v>270</v>
      </c>
      <c r="I204" s="9" t="s">
        <v>70</v>
      </c>
      <c r="J204" s="9" t="s">
        <v>2084</v>
      </c>
    </row>
    <row r="205" spans="1:10">
      <c r="A205" s="8">
        <v>30727</v>
      </c>
      <c r="B205" s="10" t="s">
        <v>1668</v>
      </c>
      <c r="C205" s="11" t="s">
        <v>497</v>
      </c>
      <c r="D205" s="11" t="s">
        <v>2550</v>
      </c>
      <c r="E205" s="11">
        <v>1228.51</v>
      </c>
      <c r="F205" s="11" t="s">
        <v>308</v>
      </c>
      <c r="G205" s="11" t="s">
        <v>2074</v>
      </c>
      <c r="H205" s="9" t="s">
        <v>115</v>
      </c>
      <c r="I205" s="9" t="s">
        <v>116</v>
      </c>
      <c r="J205" s="9" t="s">
        <v>2073</v>
      </c>
    </row>
    <row r="206" spans="1:10">
      <c r="A206" s="8">
        <v>56080</v>
      </c>
      <c r="B206" s="10" t="s">
        <v>1415</v>
      </c>
      <c r="C206" s="11" t="s">
        <v>9</v>
      </c>
      <c r="D206" s="11" t="s">
        <v>2413</v>
      </c>
      <c r="E206" s="11">
        <v>2110.38</v>
      </c>
      <c r="F206" s="11" t="s">
        <v>0</v>
      </c>
      <c r="G206" s="11" t="s">
        <v>2072</v>
      </c>
      <c r="H206" s="9" t="s">
        <v>306</v>
      </c>
      <c r="I206" s="9" t="s">
        <v>307</v>
      </c>
      <c r="J206" s="9" t="s">
        <v>2073</v>
      </c>
    </row>
    <row r="207" spans="1:10">
      <c r="A207" s="8">
        <v>56030</v>
      </c>
      <c r="B207" s="10" t="s">
        <v>1416</v>
      </c>
      <c r="C207" s="11" t="s">
        <v>10</v>
      </c>
      <c r="D207" s="11" t="s">
        <v>2413</v>
      </c>
      <c r="E207" s="11">
        <v>2110.38</v>
      </c>
      <c r="F207" s="11" t="s">
        <v>0</v>
      </c>
      <c r="G207" s="11" t="s">
        <v>2072</v>
      </c>
      <c r="H207" s="9" t="s">
        <v>306</v>
      </c>
      <c r="I207" s="9" t="s">
        <v>307</v>
      </c>
      <c r="J207" s="9" t="s">
        <v>2073</v>
      </c>
    </row>
    <row r="208" spans="1:10">
      <c r="A208" s="8">
        <v>37909</v>
      </c>
      <c r="B208" s="10" t="s">
        <v>498</v>
      </c>
      <c r="C208" s="11" t="s">
        <v>499</v>
      </c>
      <c r="D208" s="11" t="s">
        <v>2586</v>
      </c>
      <c r="E208" s="11">
        <v>714.24</v>
      </c>
      <c r="F208" s="11" t="s">
        <v>129</v>
      </c>
      <c r="G208" s="11" t="s">
        <v>2094</v>
      </c>
      <c r="H208" s="9" t="s">
        <v>466</v>
      </c>
      <c r="I208" s="9" t="s">
        <v>467</v>
      </c>
      <c r="J208" s="9" t="s">
        <v>2115</v>
      </c>
    </row>
    <row r="209" spans="1:10">
      <c r="A209" s="8">
        <v>54197</v>
      </c>
      <c r="B209" s="10" t="s">
        <v>1669</v>
      </c>
      <c r="C209" s="11" t="s">
        <v>500</v>
      </c>
      <c r="D209" s="11" t="s">
        <v>2708</v>
      </c>
      <c r="E209" s="11">
        <v>955.14</v>
      </c>
      <c r="F209" s="11" t="s">
        <v>113</v>
      </c>
      <c r="G209" s="11" t="s">
        <v>2072</v>
      </c>
      <c r="H209" s="9" t="s">
        <v>472</v>
      </c>
      <c r="I209" s="9" t="s">
        <v>473</v>
      </c>
      <c r="J209" s="9" t="s">
        <v>2146</v>
      </c>
    </row>
    <row r="210" spans="1:10">
      <c r="A210" s="8">
        <v>55321</v>
      </c>
      <c r="B210" s="10" t="s">
        <v>1348</v>
      </c>
      <c r="C210" s="11" t="s">
        <v>501</v>
      </c>
      <c r="D210" s="11" t="s">
        <v>2727</v>
      </c>
      <c r="E210" s="11">
        <v>178.58</v>
      </c>
      <c r="F210" s="11" t="s">
        <v>129</v>
      </c>
      <c r="G210" s="11" t="s">
        <v>2072</v>
      </c>
      <c r="H210" s="9" t="s">
        <v>502</v>
      </c>
      <c r="I210" s="9" t="s">
        <v>503</v>
      </c>
      <c r="J210" s="9" t="s">
        <v>2153</v>
      </c>
    </row>
    <row r="211" spans="1:10">
      <c r="A211" s="8">
        <v>55622</v>
      </c>
      <c r="B211" s="10" t="s">
        <v>1670</v>
      </c>
      <c r="C211" s="11" t="s">
        <v>504</v>
      </c>
      <c r="D211" s="11" t="s">
        <v>2734</v>
      </c>
      <c r="E211" s="11">
        <v>955.14</v>
      </c>
      <c r="F211" s="11" t="s">
        <v>113</v>
      </c>
      <c r="G211" s="11" t="s">
        <v>2072</v>
      </c>
      <c r="H211" s="9" t="s">
        <v>472</v>
      </c>
      <c r="I211" s="9" t="s">
        <v>473</v>
      </c>
      <c r="J211" s="9" t="s">
        <v>2146</v>
      </c>
    </row>
    <row r="212" spans="1:10">
      <c r="A212" s="8">
        <v>54870</v>
      </c>
      <c r="B212" s="10" t="s">
        <v>1671</v>
      </c>
      <c r="C212" s="11" t="s">
        <v>505</v>
      </c>
      <c r="D212" s="11" t="s">
        <v>2720</v>
      </c>
      <c r="E212" s="11">
        <v>955.14</v>
      </c>
      <c r="F212" s="11" t="s">
        <v>113</v>
      </c>
      <c r="G212" s="11" t="s">
        <v>2072</v>
      </c>
      <c r="H212" s="9" t="s">
        <v>314</v>
      </c>
      <c r="I212" s="9" t="s">
        <v>315</v>
      </c>
      <c r="J212" s="9" t="s">
        <v>2150</v>
      </c>
    </row>
    <row r="213" spans="1:10">
      <c r="A213" s="8">
        <v>4138</v>
      </c>
      <c r="B213" s="10" t="s">
        <v>1672</v>
      </c>
      <c r="C213" s="11" t="s">
        <v>506</v>
      </c>
      <c r="D213" s="11" t="s">
        <v>2451</v>
      </c>
      <c r="E213" s="11">
        <v>1520.04</v>
      </c>
      <c r="F213" s="11" t="s">
        <v>155</v>
      </c>
      <c r="G213" s="11" t="s">
        <v>2072</v>
      </c>
      <c r="H213" s="9" t="s">
        <v>212</v>
      </c>
      <c r="I213" s="9" t="s">
        <v>213</v>
      </c>
      <c r="J213" s="9" t="s">
        <v>2073</v>
      </c>
    </row>
    <row r="214" spans="1:10">
      <c r="A214" s="8">
        <v>32726</v>
      </c>
      <c r="B214" s="10" t="s">
        <v>1673</v>
      </c>
      <c r="C214" s="11" t="s">
        <v>507</v>
      </c>
      <c r="D214" s="11" t="s">
        <v>2564</v>
      </c>
      <c r="E214" s="11">
        <v>1835.61</v>
      </c>
      <c r="F214" s="11" t="s">
        <v>475</v>
      </c>
      <c r="G214" s="11" t="s">
        <v>2072</v>
      </c>
      <c r="H214" s="9" t="s">
        <v>115</v>
      </c>
      <c r="I214" s="9" t="s">
        <v>116</v>
      </c>
      <c r="J214" s="9" t="s">
        <v>2073</v>
      </c>
    </row>
    <row r="215" spans="1:10">
      <c r="A215" s="8">
        <v>61851</v>
      </c>
      <c r="B215" s="10" t="s">
        <v>1674</v>
      </c>
      <c r="C215" s="11" t="s">
        <v>508</v>
      </c>
      <c r="D215" s="11" t="s">
        <v>2803</v>
      </c>
      <c r="E215" s="11">
        <v>1520.04</v>
      </c>
      <c r="F215" s="11" t="s">
        <v>155</v>
      </c>
      <c r="G215" s="11" t="s">
        <v>2072</v>
      </c>
      <c r="H215" s="9" t="s">
        <v>115</v>
      </c>
      <c r="I215" s="9" t="s">
        <v>116</v>
      </c>
      <c r="J215" s="9" t="s">
        <v>2073</v>
      </c>
    </row>
    <row r="216" spans="1:10">
      <c r="A216" s="8">
        <v>5952</v>
      </c>
      <c r="B216" s="10" t="s">
        <v>288</v>
      </c>
      <c r="C216" s="11" t="s">
        <v>509</v>
      </c>
      <c r="D216" s="11" t="s">
        <v>2460</v>
      </c>
      <c r="E216" s="11">
        <v>822.96</v>
      </c>
      <c r="F216" s="11" t="s">
        <v>133</v>
      </c>
      <c r="G216" s="11" t="s">
        <v>2072</v>
      </c>
      <c r="H216" s="9" t="s">
        <v>214</v>
      </c>
      <c r="I216" s="9" t="s">
        <v>215</v>
      </c>
      <c r="J216" s="9" t="s">
        <v>2073</v>
      </c>
    </row>
    <row r="217" spans="1:10">
      <c r="A217" s="8">
        <v>32341</v>
      </c>
      <c r="B217" s="10" t="s">
        <v>1675</v>
      </c>
      <c r="C217" s="11" t="s">
        <v>510</v>
      </c>
      <c r="D217" s="11" t="s">
        <v>2555</v>
      </c>
      <c r="E217" s="11">
        <v>955.15</v>
      </c>
      <c r="F217" s="11" t="s">
        <v>113</v>
      </c>
      <c r="G217" s="11" t="s">
        <v>2072</v>
      </c>
      <c r="H217" s="9" t="s">
        <v>225</v>
      </c>
      <c r="I217" s="9" t="s">
        <v>226</v>
      </c>
      <c r="J217" s="9" t="s">
        <v>2073</v>
      </c>
    </row>
    <row r="218" spans="1:10">
      <c r="A218" s="8">
        <v>58372</v>
      </c>
      <c r="B218" s="10" t="s">
        <v>1676</v>
      </c>
      <c r="C218" s="11" t="s">
        <v>511</v>
      </c>
      <c r="D218" s="11" t="s">
        <v>2759</v>
      </c>
      <c r="E218" s="11">
        <v>955.14</v>
      </c>
      <c r="F218" s="11" t="s">
        <v>113</v>
      </c>
      <c r="G218" s="11" t="s">
        <v>2072</v>
      </c>
      <c r="H218" s="9" t="s">
        <v>131</v>
      </c>
      <c r="I218" s="9" t="s">
        <v>132</v>
      </c>
      <c r="J218" s="9" t="s">
        <v>2073</v>
      </c>
    </row>
    <row r="219" spans="1:10">
      <c r="A219" s="8">
        <v>62724</v>
      </c>
      <c r="B219" s="10" t="s">
        <v>1677</v>
      </c>
      <c r="C219" s="11" t="s">
        <v>1199</v>
      </c>
      <c r="D219" s="11" t="s">
        <v>2809</v>
      </c>
      <c r="E219" s="11">
        <v>955.14</v>
      </c>
      <c r="F219" s="11" t="s">
        <v>113</v>
      </c>
      <c r="G219" s="11" t="s">
        <v>2072</v>
      </c>
      <c r="H219" s="9" t="s">
        <v>396</v>
      </c>
      <c r="I219" s="9" t="s">
        <v>397</v>
      </c>
      <c r="J219" s="9" t="s">
        <v>2165</v>
      </c>
    </row>
    <row r="220" spans="1:10">
      <c r="A220" s="8">
        <v>30744</v>
      </c>
      <c r="B220" s="10" t="s">
        <v>1678</v>
      </c>
      <c r="C220" s="11" t="s">
        <v>512</v>
      </c>
      <c r="D220" s="11" t="s">
        <v>2912</v>
      </c>
      <c r="E220" s="11">
        <v>878.5</v>
      </c>
      <c r="F220" s="11" t="s">
        <v>113</v>
      </c>
      <c r="G220" s="11" t="s">
        <v>2074</v>
      </c>
      <c r="H220" s="9" t="s">
        <v>135</v>
      </c>
      <c r="I220" s="9" t="s">
        <v>84</v>
      </c>
      <c r="J220" s="9" t="s">
        <v>2104</v>
      </c>
    </row>
    <row r="221" spans="1:10">
      <c r="A221" s="8">
        <v>56004</v>
      </c>
      <c r="B221" s="10" t="s">
        <v>1417</v>
      </c>
      <c r="C221" s="11" t="s">
        <v>11</v>
      </c>
      <c r="D221" s="11" t="s">
        <v>2413</v>
      </c>
      <c r="E221" s="11">
        <v>2110.38</v>
      </c>
      <c r="F221" s="11" t="s">
        <v>0</v>
      </c>
      <c r="G221" s="11" t="s">
        <v>2072</v>
      </c>
      <c r="H221" s="9" t="s">
        <v>306</v>
      </c>
      <c r="I221" s="9" t="s">
        <v>307</v>
      </c>
      <c r="J221" s="9" t="s">
        <v>2073</v>
      </c>
    </row>
    <row r="222" spans="1:10">
      <c r="A222" s="8">
        <v>68815</v>
      </c>
      <c r="B222" s="10" t="s">
        <v>2326</v>
      </c>
      <c r="C222" s="11" t="s">
        <v>2327</v>
      </c>
      <c r="D222" s="11" t="s">
        <v>2563</v>
      </c>
      <c r="E222" s="11">
        <v>822.96</v>
      </c>
      <c r="F222" s="11" t="s">
        <v>133</v>
      </c>
      <c r="G222" s="11" t="s">
        <v>2072</v>
      </c>
      <c r="H222" s="9" t="s">
        <v>366</v>
      </c>
      <c r="I222" s="9" t="s">
        <v>367</v>
      </c>
      <c r="J222" s="9" t="s">
        <v>2073</v>
      </c>
    </row>
    <row r="223" spans="1:10">
      <c r="A223" s="8">
        <v>52607</v>
      </c>
      <c r="B223" s="10" t="s">
        <v>1679</v>
      </c>
      <c r="C223" s="11" t="s">
        <v>513</v>
      </c>
      <c r="D223" s="11" t="s">
        <v>2684</v>
      </c>
      <c r="E223" s="11">
        <v>955.14</v>
      </c>
      <c r="F223" s="11" t="s">
        <v>113</v>
      </c>
      <c r="G223" s="11" t="s">
        <v>2072</v>
      </c>
      <c r="H223" s="9" t="s">
        <v>185</v>
      </c>
      <c r="I223" s="9" t="s">
        <v>99</v>
      </c>
      <c r="J223" s="9" t="s">
        <v>2103</v>
      </c>
    </row>
    <row r="224" spans="1:10">
      <c r="A224" s="8">
        <v>54543</v>
      </c>
      <c r="B224" s="10" t="s">
        <v>1680</v>
      </c>
      <c r="C224" s="11" t="s">
        <v>514</v>
      </c>
      <c r="D224" s="11" t="s">
        <v>2717</v>
      </c>
      <c r="E224" s="11">
        <v>737.88</v>
      </c>
      <c r="F224" s="11" t="s">
        <v>420</v>
      </c>
      <c r="G224" s="11" t="s">
        <v>2072</v>
      </c>
      <c r="H224" s="9" t="s">
        <v>131</v>
      </c>
      <c r="I224" s="9" t="s">
        <v>132</v>
      </c>
      <c r="J224" s="9" t="s">
        <v>2073</v>
      </c>
    </row>
    <row r="225" spans="1:10">
      <c r="A225" s="8">
        <v>56007</v>
      </c>
      <c r="B225" s="10" t="s">
        <v>1418</v>
      </c>
      <c r="C225" s="11" t="s">
        <v>12</v>
      </c>
      <c r="D225" s="11" t="s">
        <v>2413</v>
      </c>
      <c r="E225" s="11">
        <v>2110.38</v>
      </c>
      <c r="F225" s="11" t="s">
        <v>0</v>
      </c>
      <c r="G225" s="11" t="s">
        <v>2072</v>
      </c>
      <c r="H225" s="9" t="s">
        <v>306</v>
      </c>
      <c r="I225" s="9" t="s">
        <v>307</v>
      </c>
      <c r="J225" s="9" t="s">
        <v>2073</v>
      </c>
    </row>
    <row r="226" spans="1:10">
      <c r="A226" s="8">
        <v>59225</v>
      </c>
      <c r="B226" s="10" t="s">
        <v>1681</v>
      </c>
      <c r="C226" s="11" t="s">
        <v>516</v>
      </c>
      <c r="D226" s="11" t="s">
        <v>2769</v>
      </c>
      <c r="E226" s="11">
        <v>1648.29</v>
      </c>
      <c r="F226" s="11" t="s">
        <v>458</v>
      </c>
      <c r="G226" s="11" t="s">
        <v>2072</v>
      </c>
      <c r="H226" s="9" t="s">
        <v>115</v>
      </c>
      <c r="I226" s="9" t="s">
        <v>116</v>
      </c>
      <c r="J226" s="9" t="s">
        <v>2073</v>
      </c>
    </row>
    <row r="227" spans="1:10">
      <c r="A227" s="8">
        <v>60598</v>
      </c>
      <c r="B227" s="10" t="s">
        <v>1682</v>
      </c>
      <c r="C227" s="11" t="s">
        <v>519</v>
      </c>
      <c r="D227" s="11" t="s">
        <v>2788</v>
      </c>
      <c r="E227" s="11">
        <v>737.88</v>
      </c>
      <c r="F227" s="11" t="s">
        <v>129</v>
      </c>
      <c r="G227" s="11" t="s">
        <v>2072</v>
      </c>
      <c r="H227" s="9" t="s">
        <v>164</v>
      </c>
      <c r="I227" s="9" t="s">
        <v>165</v>
      </c>
      <c r="J227" s="9" t="s">
        <v>2073</v>
      </c>
    </row>
    <row r="228" spans="1:10">
      <c r="A228" s="8">
        <v>43630</v>
      </c>
      <c r="B228" s="10" t="s">
        <v>1683</v>
      </c>
      <c r="C228" s="11" t="s">
        <v>521</v>
      </c>
      <c r="D228" s="11" t="s">
        <v>2606</v>
      </c>
      <c r="E228" s="11">
        <v>822.96</v>
      </c>
      <c r="F228" s="11" t="s">
        <v>133</v>
      </c>
      <c r="G228" s="11" t="s">
        <v>2072</v>
      </c>
      <c r="H228" s="9" t="s">
        <v>277</v>
      </c>
      <c r="I228" s="9" t="s">
        <v>53</v>
      </c>
      <c r="J228" s="9" t="s">
        <v>2075</v>
      </c>
    </row>
    <row r="229" spans="1:10">
      <c r="A229" s="8">
        <v>4145</v>
      </c>
      <c r="B229" s="10" t="s">
        <v>526</v>
      </c>
      <c r="C229" s="11" t="s">
        <v>527</v>
      </c>
      <c r="D229" s="11" t="s">
        <v>2451</v>
      </c>
      <c r="E229" s="11">
        <v>955.15</v>
      </c>
      <c r="F229" s="11" t="s">
        <v>113</v>
      </c>
      <c r="G229" s="11" t="s">
        <v>2072</v>
      </c>
      <c r="H229" s="9" t="s">
        <v>234</v>
      </c>
      <c r="I229" s="9" t="s">
        <v>235</v>
      </c>
      <c r="J229" s="9" t="s">
        <v>2073</v>
      </c>
    </row>
    <row r="230" spans="1:10">
      <c r="A230" s="8">
        <v>23805</v>
      </c>
      <c r="B230" s="10" t="s">
        <v>528</v>
      </c>
      <c r="C230" s="11" t="s">
        <v>529</v>
      </c>
      <c r="D230" s="11" t="s">
        <v>2527</v>
      </c>
      <c r="E230" s="11">
        <v>1520.04</v>
      </c>
      <c r="F230" s="11" t="s">
        <v>155</v>
      </c>
      <c r="G230" s="11" t="s">
        <v>2072</v>
      </c>
      <c r="H230" s="9" t="s">
        <v>115</v>
      </c>
      <c r="I230" s="9" t="s">
        <v>116</v>
      </c>
      <c r="J230" s="9" t="s">
        <v>2073</v>
      </c>
    </row>
    <row r="231" spans="1:10">
      <c r="A231" s="8">
        <v>19653</v>
      </c>
      <c r="B231" s="10" t="s">
        <v>530</v>
      </c>
      <c r="C231" s="11" t="s">
        <v>531</v>
      </c>
      <c r="D231" s="11" t="s">
        <v>2506</v>
      </c>
      <c r="E231" s="11">
        <v>1520.04</v>
      </c>
      <c r="F231" s="11" t="s">
        <v>155</v>
      </c>
      <c r="G231" s="11" t="s">
        <v>2072</v>
      </c>
      <c r="H231" s="9" t="s">
        <v>366</v>
      </c>
      <c r="I231" s="9" t="s">
        <v>367</v>
      </c>
      <c r="J231" s="9" t="s">
        <v>2073</v>
      </c>
    </row>
    <row r="232" spans="1:10">
      <c r="A232" s="8">
        <v>68080</v>
      </c>
      <c r="B232" s="10" t="s">
        <v>2268</v>
      </c>
      <c r="C232" s="11" t="s">
        <v>2269</v>
      </c>
      <c r="D232" s="11" t="s">
        <v>2869</v>
      </c>
      <c r="E232" s="11">
        <v>714.24</v>
      </c>
      <c r="F232" s="11" t="s">
        <v>129</v>
      </c>
      <c r="G232" s="11" t="s">
        <v>2072</v>
      </c>
      <c r="H232" s="9" t="s">
        <v>304</v>
      </c>
      <c r="I232" s="9" t="s">
        <v>79</v>
      </c>
      <c r="J232" s="9" t="s">
        <v>2142</v>
      </c>
    </row>
    <row r="233" spans="1:10">
      <c r="A233" s="8">
        <v>41334</v>
      </c>
      <c r="B233" s="10" t="s">
        <v>1684</v>
      </c>
      <c r="C233" s="11" t="s">
        <v>533</v>
      </c>
      <c r="D233" s="11" t="s">
        <v>2601</v>
      </c>
      <c r="E233" s="11">
        <v>1835.61</v>
      </c>
      <c r="F233" s="11" t="s">
        <v>475</v>
      </c>
      <c r="G233" s="11" t="s">
        <v>2072</v>
      </c>
      <c r="H233" s="9" t="s">
        <v>115</v>
      </c>
      <c r="I233" s="9" t="s">
        <v>116</v>
      </c>
      <c r="J233" s="9" t="s">
        <v>2073</v>
      </c>
    </row>
    <row r="234" spans="1:10">
      <c r="A234" s="8">
        <v>68546</v>
      </c>
      <c r="B234" s="10" t="s">
        <v>2328</v>
      </c>
      <c r="C234" s="11" t="s">
        <v>534</v>
      </c>
      <c r="D234" s="11" t="s">
        <v>2878</v>
      </c>
      <c r="E234" s="11">
        <v>737.88</v>
      </c>
      <c r="F234" s="11" t="s">
        <v>515</v>
      </c>
      <c r="G234" s="11" t="s">
        <v>2072</v>
      </c>
      <c r="H234" s="9" t="s">
        <v>146</v>
      </c>
      <c r="I234" s="9" t="s">
        <v>4</v>
      </c>
      <c r="J234" s="9" t="s">
        <v>2073</v>
      </c>
    </row>
    <row r="235" spans="1:10">
      <c r="A235" s="8">
        <v>58885</v>
      </c>
      <c r="B235" s="10" t="s">
        <v>1685</v>
      </c>
      <c r="C235" s="11" t="s">
        <v>535</v>
      </c>
      <c r="D235" s="11" t="s">
        <v>2762</v>
      </c>
      <c r="E235" s="11">
        <v>1228.51</v>
      </c>
      <c r="F235" s="11" t="s">
        <v>536</v>
      </c>
      <c r="G235" s="11" t="s">
        <v>2072</v>
      </c>
      <c r="H235" s="9" t="s">
        <v>146</v>
      </c>
      <c r="I235" s="9" t="s">
        <v>4</v>
      </c>
      <c r="J235" s="9" t="s">
        <v>2073</v>
      </c>
    </row>
    <row r="236" spans="1:10">
      <c r="A236" s="8">
        <v>60721</v>
      </c>
      <c r="B236" s="10" t="s">
        <v>1686</v>
      </c>
      <c r="C236" s="11" t="s">
        <v>539</v>
      </c>
      <c r="D236" s="11" t="s">
        <v>2788</v>
      </c>
      <c r="E236" s="11">
        <v>723.21</v>
      </c>
      <c r="F236" s="11" t="s">
        <v>129</v>
      </c>
      <c r="G236" s="11" t="s">
        <v>2074</v>
      </c>
      <c r="H236" s="9" t="s">
        <v>220</v>
      </c>
      <c r="I236" s="9" t="s">
        <v>61</v>
      </c>
      <c r="J236" s="9" t="s">
        <v>2093</v>
      </c>
    </row>
    <row r="237" spans="1:10">
      <c r="A237" s="8">
        <v>66309</v>
      </c>
      <c r="B237" s="10" t="s">
        <v>1687</v>
      </c>
      <c r="C237" s="11" t="s">
        <v>1308</v>
      </c>
      <c r="D237" s="11" t="s">
        <v>2913</v>
      </c>
      <c r="E237" s="11">
        <v>1228.51</v>
      </c>
      <c r="F237" s="11" t="s">
        <v>139</v>
      </c>
      <c r="G237" s="11" t="s">
        <v>2085</v>
      </c>
      <c r="H237" s="9" t="s">
        <v>115</v>
      </c>
      <c r="I237" s="9" t="s">
        <v>116</v>
      </c>
      <c r="J237" s="9" t="s">
        <v>2073</v>
      </c>
    </row>
    <row r="238" spans="1:10">
      <c r="A238" s="8">
        <v>54401</v>
      </c>
      <c r="B238" s="10" t="s">
        <v>1688</v>
      </c>
      <c r="C238" s="11" t="s">
        <v>540</v>
      </c>
      <c r="D238" s="11" t="s">
        <v>2712</v>
      </c>
      <c r="E238" s="11">
        <v>737.88</v>
      </c>
      <c r="F238" s="11" t="s">
        <v>129</v>
      </c>
      <c r="G238" s="11" t="s">
        <v>2072</v>
      </c>
      <c r="H238" s="9" t="s">
        <v>115</v>
      </c>
      <c r="I238" s="9" t="s">
        <v>116</v>
      </c>
      <c r="J238" s="9" t="s">
        <v>2073</v>
      </c>
    </row>
    <row r="239" spans="1:10">
      <c r="A239" s="8">
        <v>60497</v>
      </c>
      <c r="B239" s="10" t="s">
        <v>1689</v>
      </c>
      <c r="C239" s="11" t="s">
        <v>541</v>
      </c>
      <c r="D239" s="11" t="s">
        <v>2784</v>
      </c>
      <c r="E239" s="11">
        <v>178.57</v>
      </c>
      <c r="F239" s="11" t="s">
        <v>129</v>
      </c>
      <c r="G239" s="11" t="s">
        <v>2072</v>
      </c>
      <c r="H239" s="9" t="s">
        <v>542</v>
      </c>
      <c r="I239" s="9" t="s">
        <v>543</v>
      </c>
      <c r="J239" s="9" t="s">
        <v>2167</v>
      </c>
    </row>
    <row r="240" spans="1:10">
      <c r="A240" s="8">
        <v>57331</v>
      </c>
      <c r="B240" s="10" t="s">
        <v>1690</v>
      </c>
      <c r="C240" s="11" t="s">
        <v>544</v>
      </c>
      <c r="D240" s="11" t="s">
        <v>2744</v>
      </c>
      <c r="E240" s="11">
        <v>737.88</v>
      </c>
      <c r="F240" s="11" t="s">
        <v>129</v>
      </c>
      <c r="G240" s="11" t="s">
        <v>2072</v>
      </c>
      <c r="H240" s="9" t="s">
        <v>211</v>
      </c>
      <c r="I240" s="9" t="s">
        <v>93</v>
      </c>
      <c r="J240" s="9" t="s">
        <v>2080</v>
      </c>
    </row>
    <row r="241" spans="1:10">
      <c r="A241" s="8">
        <v>52276</v>
      </c>
      <c r="B241" s="10" t="s">
        <v>545</v>
      </c>
      <c r="C241" s="11" t="s">
        <v>546</v>
      </c>
      <c r="D241" s="11" t="s">
        <v>2525</v>
      </c>
      <c r="E241" s="11">
        <v>584.38</v>
      </c>
      <c r="F241" s="11" t="s">
        <v>129</v>
      </c>
      <c r="G241" s="11" t="s">
        <v>2072</v>
      </c>
      <c r="H241" s="9" t="s">
        <v>547</v>
      </c>
      <c r="I241" s="9" t="s">
        <v>548</v>
      </c>
      <c r="J241" s="9" t="s">
        <v>2141</v>
      </c>
    </row>
    <row r="242" spans="1:10">
      <c r="A242" s="8">
        <v>65347</v>
      </c>
      <c r="B242" s="10" t="s">
        <v>1691</v>
      </c>
      <c r="C242" s="11" t="s">
        <v>549</v>
      </c>
      <c r="D242" s="11" t="s">
        <v>2834</v>
      </c>
      <c r="E242" s="11">
        <v>603.72</v>
      </c>
      <c r="F242" s="11" t="s">
        <v>129</v>
      </c>
      <c r="G242" s="11" t="s">
        <v>2072</v>
      </c>
      <c r="H242" s="9" t="s">
        <v>551</v>
      </c>
      <c r="I242" s="9" t="s">
        <v>552</v>
      </c>
      <c r="J242" s="9" t="s">
        <v>2117</v>
      </c>
    </row>
    <row r="243" spans="1:10">
      <c r="A243" s="8">
        <v>55872</v>
      </c>
      <c r="B243" s="10" t="s">
        <v>1692</v>
      </c>
      <c r="C243" s="11" t="s">
        <v>553</v>
      </c>
      <c r="D243" s="11" t="s">
        <v>2454</v>
      </c>
      <c r="E243" s="11">
        <v>737.88</v>
      </c>
      <c r="F243" s="11" t="s">
        <v>129</v>
      </c>
      <c r="G243" s="11" t="s">
        <v>2072</v>
      </c>
      <c r="H243" s="9" t="s">
        <v>120</v>
      </c>
      <c r="I243" s="9" t="s">
        <v>121</v>
      </c>
      <c r="J243" s="9" t="s">
        <v>2090</v>
      </c>
    </row>
    <row r="244" spans="1:10">
      <c r="A244" s="8">
        <v>56048</v>
      </c>
      <c r="B244" s="10" t="s">
        <v>1419</v>
      </c>
      <c r="C244" s="11" t="s">
        <v>554</v>
      </c>
      <c r="D244" s="11" t="s">
        <v>2413</v>
      </c>
      <c r="E244" s="11">
        <v>2110.38</v>
      </c>
      <c r="F244" s="11" t="s">
        <v>0</v>
      </c>
      <c r="G244" s="11" t="s">
        <v>2072</v>
      </c>
      <c r="H244" s="9" t="s">
        <v>555</v>
      </c>
      <c r="I244" s="9" t="s">
        <v>556</v>
      </c>
      <c r="J244" s="9" t="s">
        <v>2077</v>
      </c>
    </row>
    <row r="245" spans="1:10">
      <c r="A245" s="8">
        <v>59353</v>
      </c>
      <c r="B245" s="10" t="s">
        <v>1693</v>
      </c>
      <c r="C245" s="11" t="s">
        <v>557</v>
      </c>
      <c r="D245" s="11" t="s">
        <v>2914</v>
      </c>
      <c r="E245" s="11">
        <v>178.57</v>
      </c>
      <c r="F245" s="11" t="s">
        <v>129</v>
      </c>
      <c r="G245" s="11" t="s">
        <v>2072</v>
      </c>
      <c r="H245" s="9" t="s">
        <v>558</v>
      </c>
      <c r="I245" s="9" t="s">
        <v>559</v>
      </c>
      <c r="J245" s="9" t="s">
        <v>2164</v>
      </c>
    </row>
    <row r="246" spans="1:10">
      <c r="A246" s="8">
        <v>66435</v>
      </c>
      <c r="B246" s="10" t="s">
        <v>1694</v>
      </c>
      <c r="C246" s="11" t="s">
        <v>1328</v>
      </c>
      <c r="D246" s="11" t="s">
        <v>2847</v>
      </c>
      <c r="E246" s="11">
        <v>737.88</v>
      </c>
      <c r="F246" s="11" t="s">
        <v>129</v>
      </c>
      <c r="G246" s="11" t="s">
        <v>2072</v>
      </c>
      <c r="H246" s="9" t="s">
        <v>214</v>
      </c>
      <c r="I246" s="9" t="s">
        <v>215</v>
      </c>
      <c r="J246" s="9" t="s">
        <v>2073</v>
      </c>
    </row>
    <row r="247" spans="1:10">
      <c r="A247" s="8">
        <v>53730</v>
      </c>
      <c r="B247" s="10" t="s">
        <v>1695</v>
      </c>
      <c r="C247" s="11" t="s">
        <v>560</v>
      </c>
      <c r="D247" s="11" t="s">
        <v>2702</v>
      </c>
      <c r="E247" s="11">
        <v>1520.04</v>
      </c>
      <c r="F247" s="11" t="s">
        <v>155</v>
      </c>
      <c r="G247" s="11" t="s">
        <v>2072</v>
      </c>
      <c r="H247" s="9" t="s">
        <v>178</v>
      </c>
      <c r="I247" s="9" t="s">
        <v>179</v>
      </c>
      <c r="J247" s="9" t="s">
        <v>2073</v>
      </c>
    </row>
    <row r="248" spans="1:10">
      <c r="A248" s="8">
        <v>38636</v>
      </c>
      <c r="B248" s="10" t="s">
        <v>550</v>
      </c>
      <c r="C248" s="11" t="s">
        <v>561</v>
      </c>
      <c r="D248" s="11" t="s">
        <v>2915</v>
      </c>
      <c r="E248" s="11">
        <v>714.24</v>
      </c>
      <c r="F248" s="11" t="s">
        <v>122</v>
      </c>
      <c r="G248" s="11" t="s">
        <v>2074</v>
      </c>
      <c r="H248" s="9" t="s">
        <v>551</v>
      </c>
      <c r="I248" s="9" t="s">
        <v>552</v>
      </c>
      <c r="J248" s="9" t="s">
        <v>2117</v>
      </c>
    </row>
    <row r="249" spans="1:10">
      <c r="A249" s="8">
        <v>62808</v>
      </c>
      <c r="B249" s="10" t="s">
        <v>1420</v>
      </c>
      <c r="C249" s="11" t="s">
        <v>1200</v>
      </c>
      <c r="D249" s="11" t="s">
        <v>2916</v>
      </c>
      <c r="E249" s="11">
        <v>2110.38</v>
      </c>
      <c r="F249" s="11" t="s">
        <v>0</v>
      </c>
      <c r="G249" s="11" t="s">
        <v>2072</v>
      </c>
      <c r="H249" s="9" t="s">
        <v>306</v>
      </c>
      <c r="I249" s="9" t="s">
        <v>307</v>
      </c>
      <c r="J249" s="9" t="s">
        <v>2073</v>
      </c>
    </row>
    <row r="250" spans="1:10">
      <c r="A250" s="8">
        <v>49948</v>
      </c>
      <c r="B250" s="10" t="s">
        <v>1696</v>
      </c>
      <c r="C250" s="11" t="s">
        <v>562</v>
      </c>
      <c r="D250" s="11" t="s">
        <v>2652</v>
      </c>
      <c r="E250" s="11">
        <v>737.88</v>
      </c>
      <c r="F250" s="11" t="s">
        <v>129</v>
      </c>
      <c r="G250" s="11" t="s">
        <v>2072</v>
      </c>
      <c r="H250" s="9" t="s">
        <v>115</v>
      </c>
      <c r="I250" s="9" t="s">
        <v>116</v>
      </c>
      <c r="J250" s="9" t="s">
        <v>2073</v>
      </c>
    </row>
    <row r="251" spans="1:10">
      <c r="A251" s="8">
        <v>24185</v>
      </c>
      <c r="B251" s="10" t="s">
        <v>563</v>
      </c>
      <c r="C251" s="11" t="s">
        <v>564</v>
      </c>
      <c r="D251" s="11" t="s">
        <v>2529</v>
      </c>
      <c r="E251" s="11">
        <v>714.24</v>
      </c>
      <c r="F251" s="11" t="s">
        <v>129</v>
      </c>
      <c r="G251" s="11" t="s">
        <v>2072</v>
      </c>
      <c r="H251" s="9" t="s">
        <v>565</v>
      </c>
      <c r="I251" s="9" t="s">
        <v>566</v>
      </c>
      <c r="J251" s="9" t="s">
        <v>2096</v>
      </c>
    </row>
    <row r="252" spans="1:10">
      <c r="A252" s="8">
        <v>65098</v>
      </c>
      <c r="B252" s="10" t="s">
        <v>1697</v>
      </c>
      <c r="C252" s="11" t="s">
        <v>1275</v>
      </c>
      <c r="D252" s="11" t="s">
        <v>2830</v>
      </c>
      <c r="E252" s="11">
        <v>822.96</v>
      </c>
      <c r="F252" s="11" t="s">
        <v>133</v>
      </c>
      <c r="G252" s="11" t="s">
        <v>2072</v>
      </c>
      <c r="H252" s="9" t="s">
        <v>250</v>
      </c>
      <c r="I252" s="9" t="s">
        <v>90</v>
      </c>
      <c r="J252" s="9" t="s">
        <v>2076</v>
      </c>
    </row>
    <row r="253" spans="1:10">
      <c r="A253" s="8">
        <v>54609</v>
      </c>
      <c r="B253" s="10" t="s">
        <v>1698</v>
      </c>
      <c r="C253" s="11" t="s">
        <v>568</v>
      </c>
      <c r="D253" s="11" t="s">
        <v>2719</v>
      </c>
      <c r="E253" s="11">
        <v>737.88</v>
      </c>
      <c r="F253" s="11" t="s">
        <v>122</v>
      </c>
      <c r="G253" s="11" t="s">
        <v>2072</v>
      </c>
      <c r="H253" s="9" t="s">
        <v>115</v>
      </c>
      <c r="I253" s="9" t="s">
        <v>116</v>
      </c>
      <c r="J253" s="9" t="s">
        <v>2073</v>
      </c>
    </row>
    <row r="254" spans="1:10">
      <c r="A254" s="8">
        <v>56064</v>
      </c>
      <c r="B254" s="10" t="s">
        <v>1421</v>
      </c>
      <c r="C254" s="11" t="s">
        <v>13</v>
      </c>
      <c r="D254" s="11" t="s">
        <v>2413</v>
      </c>
      <c r="E254" s="11">
        <v>2110.38</v>
      </c>
      <c r="F254" s="11" t="s">
        <v>0</v>
      </c>
      <c r="G254" s="11" t="s">
        <v>2072</v>
      </c>
      <c r="H254" s="9" t="s">
        <v>306</v>
      </c>
      <c r="I254" s="9" t="s">
        <v>307</v>
      </c>
      <c r="J254" s="9" t="s">
        <v>2073</v>
      </c>
    </row>
    <row r="255" spans="1:10">
      <c r="A255" s="8">
        <v>29006</v>
      </c>
      <c r="B255" s="10" t="s">
        <v>1699</v>
      </c>
      <c r="C255" s="11" t="s">
        <v>570</v>
      </c>
      <c r="D255" s="11" t="s">
        <v>2544</v>
      </c>
      <c r="E255" s="11">
        <v>822.96</v>
      </c>
      <c r="F255" s="11" t="s">
        <v>133</v>
      </c>
      <c r="G255" s="11" t="s">
        <v>2072</v>
      </c>
      <c r="H255" s="9" t="s">
        <v>234</v>
      </c>
      <c r="I255" s="9" t="s">
        <v>235</v>
      </c>
      <c r="J255" s="9" t="s">
        <v>2073</v>
      </c>
    </row>
    <row r="256" spans="1:10">
      <c r="A256" s="8">
        <v>8346</v>
      </c>
      <c r="B256" s="10" t="s">
        <v>1700</v>
      </c>
      <c r="C256" s="11" t="s">
        <v>571</v>
      </c>
      <c r="D256" s="11" t="s">
        <v>2474</v>
      </c>
      <c r="E256" s="11">
        <v>1648.29</v>
      </c>
      <c r="F256" s="11" t="s">
        <v>458</v>
      </c>
      <c r="G256" s="11" t="s">
        <v>2072</v>
      </c>
      <c r="H256" s="9" t="s">
        <v>146</v>
      </c>
      <c r="I256" s="9" t="s">
        <v>4</v>
      </c>
      <c r="J256" s="9" t="s">
        <v>2073</v>
      </c>
    </row>
    <row r="257" spans="1:10">
      <c r="A257" s="8">
        <v>65683</v>
      </c>
      <c r="B257" s="10" t="s">
        <v>1701</v>
      </c>
      <c r="C257" s="11" t="s">
        <v>572</v>
      </c>
      <c r="D257" s="11" t="s">
        <v>2835</v>
      </c>
      <c r="E257" s="11">
        <v>737.88</v>
      </c>
      <c r="F257" s="11" t="s">
        <v>515</v>
      </c>
      <c r="G257" s="11" t="s">
        <v>2072</v>
      </c>
      <c r="H257" s="9" t="s">
        <v>146</v>
      </c>
      <c r="I257" s="9" t="s">
        <v>4</v>
      </c>
      <c r="J257" s="9" t="s">
        <v>2073</v>
      </c>
    </row>
    <row r="258" spans="1:10">
      <c r="A258" s="8">
        <v>56097</v>
      </c>
      <c r="B258" s="10" t="s">
        <v>1422</v>
      </c>
      <c r="C258" s="11" t="s">
        <v>55</v>
      </c>
      <c r="D258" s="11" t="s">
        <v>2413</v>
      </c>
      <c r="E258" s="11">
        <v>2110.38</v>
      </c>
      <c r="F258" s="11" t="s">
        <v>0</v>
      </c>
      <c r="G258" s="11" t="s">
        <v>2072</v>
      </c>
      <c r="H258" s="9" t="s">
        <v>573</v>
      </c>
      <c r="I258" s="9" t="s">
        <v>574</v>
      </c>
      <c r="J258" s="9" t="s">
        <v>2089</v>
      </c>
    </row>
    <row r="259" spans="1:10">
      <c r="A259" s="8">
        <v>4043</v>
      </c>
      <c r="B259" s="10" t="s">
        <v>1702</v>
      </c>
      <c r="C259" s="11" t="s">
        <v>575</v>
      </c>
      <c r="D259" s="11" t="s">
        <v>2451</v>
      </c>
      <c r="E259" s="11">
        <v>737.88</v>
      </c>
      <c r="F259" s="11" t="s">
        <v>258</v>
      </c>
      <c r="G259" s="11" t="s">
        <v>2072</v>
      </c>
      <c r="H259" s="9" t="s">
        <v>115</v>
      </c>
      <c r="I259" s="9" t="s">
        <v>116</v>
      </c>
      <c r="J259" s="9" t="s">
        <v>2073</v>
      </c>
    </row>
    <row r="260" spans="1:10">
      <c r="A260" s="8">
        <v>7888</v>
      </c>
      <c r="B260" s="10" t="s">
        <v>1703</v>
      </c>
      <c r="C260" s="11" t="s">
        <v>576</v>
      </c>
      <c r="D260" s="11" t="s">
        <v>2471</v>
      </c>
      <c r="E260" s="11">
        <v>737.88</v>
      </c>
      <c r="F260" s="11" t="s">
        <v>111</v>
      </c>
      <c r="G260" s="11" t="s">
        <v>2072</v>
      </c>
      <c r="H260" s="9" t="s">
        <v>355</v>
      </c>
      <c r="I260" s="9" t="s">
        <v>49</v>
      </c>
      <c r="J260" s="9" t="s">
        <v>2077</v>
      </c>
    </row>
    <row r="261" spans="1:10">
      <c r="A261" s="8">
        <v>32701</v>
      </c>
      <c r="B261" s="10" t="s">
        <v>1704</v>
      </c>
      <c r="C261" s="11" t="s">
        <v>577</v>
      </c>
      <c r="D261" s="11" t="s">
        <v>2562</v>
      </c>
      <c r="E261" s="11">
        <v>737.88</v>
      </c>
      <c r="F261" s="11" t="s">
        <v>129</v>
      </c>
      <c r="G261" s="11" t="s">
        <v>2074</v>
      </c>
      <c r="H261" s="9" t="s">
        <v>115</v>
      </c>
      <c r="I261" s="9" t="s">
        <v>116</v>
      </c>
      <c r="J261" s="9" t="s">
        <v>2073</v>
      </c>
    </row>
    <row r="262" spans="1:10">
      <c r="A262" s="8">
        <v>56132</v>
      </c>
      <c r="B262" s="10" t="s">
        <v>1426</v>
      </c>
      <c r="C262" s="11" t="s">
        <v>59</v>
      </c>
      <c r="D262" s="11" t="s">
        <v>2413</v>
      </c>
      <c r="E262" s="11">
        <v>2110.38</v>
      </c>
      <c r="F262" s="11" t="s">
        <v>0</v>
      </c>
      <c r="G262" s="11" t="s">
        <v>2072</v>
      </c>
      <c r="H262" s="9" t="s">
        <v>456</v>
      </c>
      <c r="I262" s="9" t="s">
        <v>457</v>
      </c>
      <c r="J262" s="9" t="s">
        <v>2079</v>
      </c>
    </row>
    <row r="263" spans="1:10">
      <c r="A263" s="8">
        <v>59014</v>
      </c>
      <c r="B263" s="10" t="s">
        <v>520</v>
      </c>
      <c r="C263" s="11" t="s">
        <v>578</v>
      </c>
      <c r="D263" s="11" t="s">
        <v>2766</v>
      </c>
      <c r="E263" s="11">
        <v>737.88</v>
      </c>
      <c r="F263" s="11" t="s">
        <v>129</v>
      </c>
      <c r="G263" s="11" t="s">
        <v>2072</v>
      </c>
      <c r="H263" s="9" t="s">
        <v>115</v>
      </c>
      <c r="I263" s="9" t="s">
        <v>116</v>
      </c>
      <c r="J263" s="9" t="s">
        <v>2073</v>
      </c>
    </row>
    <row r="264" spans="1:10">
      <c r="A264" s="8">
        <v>65684</v>
      </c>
      <c r="B264" s="10" t="s">
        <v>1705</v>
      </c>
      <c r="C264" s="11" t="s">
        <v>1276</v>
      </c>
      <c r="D264" s="11" t="s">
        <v>2835</v>
      </c>
      <c r="E264" s="11">
        <v>737.88</v>
      </c>
      <c r="F264" s="11" t="s">
        <v>227</v>
      </c>
      <c r="G264" s="11" t="s">
        <v>2072</v>
      </c>
      <c r="H264" s="9" t="s">
        <v>146</v>
      </c>
      <c r="I264" s="9" t="s">
        <v>4</v>
      </c>
      <c r="J264" s="9" t="s">
        <v>2073</v>
      </c>
    </row>
    <row r="265" spans="1:10">
      <c r="A265" s="8">
        <v>67512</v>
      </c>
      <c r="B265" s="10" t="s">
        <v>2329</v>
      </c>
      <c r="C265" s="11" t="s">
        <v>2330</v>
      </c>
      <c r="D265" s="11" t="s">
        <v>2860</v>
      </c>
      <c r="E265" s="11">
        <v>1228.51</v>
      </c>
      <c r="F265" s="11" t="s">
        <v>139</v>
      </c>
      <c r="G265" s="11" t="s">
        <v>2072</v>
      </c>
      <c r="H265" s="9" t="s">
        <v>153</v>
      </c>
      <c r="I265" s="9" t="s">
        <v>154</v>
      </c>
      <c r="J265" s="9" t="s">
        <v>2073</v>
      </c>
    </row>
    <row r="266" spans="1:10">
      <c r="A266" s="8">
        <v>65223</v>
      </c>
      <c r="B266" s="10" t="s">
        <v>1706</v>
      </c>
      <c r="C266" s="11" t="s">
        <v>1278</v>
      </c>
      <c r="D266" s="11" t="s">
        <v>2829</v>
      </c>
      <c r="E266" s="11">
        <v>955.14</v>
      </c>
      <c r="F266" s="11" t="s">
        <v>113</v>
      </c>
      <c r="G266" s="11" t="s">
        <v>2072</v>
      </c>
      <c r="H266" s="9" t="s">
        <v>314</v>
      </c>
      <c r="I266" s="9" t="s">
        <v>315</v>
      </c>
      <c r="J266" s="9" t="s">
        <v>2150</v>
      </c>
    </row>
    <row r="267" spans="1:10">
      <c r="A267" s="8">
        <v>21812</v>
      </c>
      <c r="B267" s="10" t="s">
        <v>1707</v>
      </c>
      <c r="C267" s="11" t="s">
        <v>580</v>
      </c>
      <c r="D267" s="11" t="s">
        <v>2515</v>
      </c>
      <c r="E267" s="11">
        <v>737.88</v>
      </c>
      <c r="F267" s="11" t="s">
        <v>129</v>
      </c>
      <c r="G267" s="11" t="s">
        <v>2072</v>
      </c>
      <c r="H267" s="9" t="s">
        <v>115</v>
      </c>
      <c r="I267" s="9" t="s">
        <v>116</v>
      </c>
      <c r="J267" s="9" t="s">
        <v>2073</v>
      </c>
    </row>
    <row r="268" spans="1:10">
      <c r="A268" s="8">
        <v>14682</v>
      </c>
      <c r="B268" s="10" t="s">
        <v>1708</v>
      </c>
      <c r="C268" s="11" t="s">
        <v>581</v>
      </c>
      <c r="D268" s="11" t="s">
        <v>2488</v>
      </c>
      <c r="E268" s="11">
        <v>1520.04</v>
      </c>
      <c r="F268" s="11" t="s">
        <v>155</v>
      </c>
      <c r="G268" s="11" t="s">
        <v>2072</v>
      </c>
      <c r="H268" s="9" t="s">
        <v>153</v>
      </c>
      <c r="I268" s="9" t="s">
        <v>154</v>
      </c>
      <c r="J268" s="9" t="s">
        <v>2073</v>
      </c>
    </row>
    <row r="269" spans="1:10">
      <c r="A269" s="8">
        <v>65169</v>
      </c>
      <c r="B269" s="10" t="s">
        <v>1516</v>
      </c>
      <c r="C269" s="11" t="s">
        <v>1279</v>
      </c>
      <c r="D269" s="11" t="s">
        <v>2421</v>
      </c>
      <c r="E269" s="11">
        <v>2110.38</v>
      </c>
      <c r="F269" s="11" t="s">
        <v>0</v>
      </c>
      <c r="G269" s="11" t="s">
        <v>2072</v>
      </c>
      <c r="H269" s="9" t="s">
        <v>1280</v>
      </c>
      <c r="I269" s="9" t="s">
        <v>1281</v>
      </c>
      <c r="J269" s="9" t="s">
        <v>2150</v>
      </c>
    </row>
    <row r="270" spans="1:10">
      <c r="A270" s="8">
        <v>19886</v>
      </c>
      <c r="B270" s="10" t="s">
        <v>1709</v>
      </c>
      <c r="C270" s="11" t="s">
        <v>582</v>
      </c>
      <c r="D270" s="11" t="s">
        <v>2507</v>
      </c>
      <c r="E270" s="11">
        <v>1520.04</v>
      </c>
      <c r="F270" s="11" t="s">
        <v>155</v>
      </c>
      <c r="G270" s="11" t="s">
        <v>2072</v>
      </c>
      <c r="H270" s="9" t="s">
        <v>243</v>
      </c>
      <c r="I270" s="9" t="s">
        <v>244</v>
      </c>
      <c r="J270" s="9" t="s">
        <v>2073</v>
      </c>
    </row>
    <row r="271" spans="1:10">
      <c r="A271" s="8">
        <v>53088</v>
      </c>
      <c r="B271" s="10" t="s">
        <v>1350</v>
      </c>
      <c r="C271" s="11" t="s">
        <v>583</v>
      </c>
      <c r="D271" s="11" t="s">
        <v>2696</v>
      </c>
      <c r="E271" s="11">
        <v>878.5</v>
      </c>
      <c r="F271" s="11" t="s">
        <v>113</v>
      </c>
      <c r="G271" s="11" t="s">
        <v>2072</v>
      </c>
      <c r="H271" s="9" t="s">
        <v>454</v>
      </c>
      <c r="I271" s="9" t="s">
        <v>51</v>
      </c>
      <c r="J271" s="9" t="s">
        <v>2097</v>
      </c>
    </row>
    <row r="272" spans="1:10">
      <c r="A272" s="8">
        <v>49214</v>
      </c>
      <c r="B272" s="10" t="s">
        <v>1710</v>
      </c>
      <c r="C272" s="11" t="s">
        <v>585</v>
      </c>
      <c r="D272" s="11" t="s">
        <v>2647</v>
      </c>
      <c r="E272" s="11">
        <v>878.5</v>
      </c>
      <c r="F272" s="11" t="s">
        <v>113</v>
      </c>
      <c r="G272" s="11" t="s">
        <v>2072</v>
      </c>
      <c r="H272" s="9" t="s">
        <v>450</v>
      </c>
      <c r="I272" s="9" t="s">
        <v>451</v>
      </c>
      <c r="J272" s="9" t="s">
        <v>2130</v>
      </c>
    </row>
    <row r="273" spans="1:10">
      <c r="A273" s="8">
        <v>58295</v>
      </c>
      <c r="B273" s="10" t="s">
        <v>1711</v>
      </c>
      <c r="C273" s="11" t="s">
        <v>586</v>
      </c>
      <c r="D273" s="11" t="s">
        <v>2755</v>
      </c>
      <c r="E273" s="11">
        <v>1027.3900000000001</v>
      </c>
      <c r="F273" s="11" t="s">
        <v>496</v>
      </c>
      <c r="G273" s="11" t="s">
        <v>2072</v>
      </c>
      <c r="H273" s="9" t="s">
        <v>115</v>
      </c>
      <c r="I273" s="9" t="s">
        <v>116</v>
      </c>
      <c r="J273" s="9" t="s">
        <v>2073</v>
      </c>
    </row>
    <row r="274" spans="1:10">
      <c r="A274" s="8">
        <v>49068</v>
      </c>
      <c r="B274" s="10" t="s">
        <v>1712</v>
      </c>
      <c r="C274" s="11" t="s">
        <v>587</v>
      </c>
      <c r="D274" s="11" t="s">
        <v>2645</v>
      </c>
      <c r="E274" s="11">
        <v>1228.51</v>
      </c>
      <c r="F274" s="11" t="s">
        <v>139</v>
      </c>
      <c r="G274" s="11" t="s">
        <v>2074</v>
      </c>
      <c r="H274" s="9" t="s">
        <v>146</v>
      </c>
      <c r="I274" s="9" t="s">
        <v>4</v>
      </c>
      <c r="J274" s="9" t="s">
        <v>2073</v>
      </c>
    </row>
    <row r="275" spans="1:10">
      <c r="A275" s="8">
        <v>65485</v>
      </c>
      <c r="B275" s="10" t="s">
        <v>1713</v>
      </c>
      <c r="C275" s="11" t="s">
        <v>1282</v>
      </c>
      <c r="D275" s="11" t="s">
        <v>2917</v>
      </c>
      <c r="E275" s="11">
        <v>1835.61</v>
      </c>
      <c r="F275" s="11" t="s">
        <v>475</v>
      </c>
      <c r="G275" s="11" t="s">
        <v>2072</v>
      </c>
      <c r="H275" s="9" t="s">
        <v>115</v>
      </c>
      <c r="I275" s="9" t="s">
        <v>116</v>
      </c>
      <c r="J275" s="9" t="s">
        <v>2073</v>
      </c>
    </row>
    <row r="276" spans="1:10">
      <c r="A276" s="8">
        <v>53092</v>
      </c>
      <c r="B276" s="10" t="s">
        <v>1714</v>
      </c>
      <c r="C276" s="11" t="s">
        <v>590</v>
      </c>
      <c r="D276" s="11" t="s">
        <v>2918</v>
      </c>
      <c r="E276" s="11">
        <v>878.5</v>
      </c>
      <c r="F276" s="11" t="s">
        <v>113</v>
      </c>
      <c r="G276" s="11" t="s">
        <v>2072</v>
      </c>
      <c r="H276" s="9" t="s">
        <v>454</v>
      </c>
      <c r="I276" s="9" t="s">
        <v>51</v>
      </c>
      <c r="J276" s="9" t="s">
        <v>2097</v>
      </c>
    </row>
    <row r="277" spans="1:10">
      <c r="A277" s="8">
        <v>1185</v>
      </c>
      <c r="B277" s="10" t="s">
        <v>1715</v>
      </c>
      <c r="C277" s="11" t="s">
        <v>591</v>
      </c>
      <c r="D277" s="11" t="s">
        <v>2443</v>
      </c>
      <c r="E277" s="11">
        <v>737.88</v>
      </c>
      <c r="F277" s="11" t="s">
        <v>129</v>
      </c>
      <c r="G277" s="11" t="s">
        <v>2072</v>
      </c>
      <c r="H277" s="9" t="s">
        <v>234</v>
      </c>
      <c r="I277" s="9" t="s">
        <v>235</v>
      </c>
      <c r="J277" s="9" t="s">
        <v>2073</v>
      </c>
    </row>
    <row r="278" spans="1:10">
      <c r="A278" s="8">
        <v>28827</v>
      </c>
      <c r="B278" s="10" t="s">
        <v>592</v>
      </c>
      <c r="C278" s="11" t="s">
        <v>593</v>
      </c>
      <c r="D278" s="11" t="s">
        <v>2541</v>
      </c>
      <c r="E278" s="11">
        <v>822.96</v>
      </c>
      <c r="F278" s="11" t="s">
        <v>133</v>
      </c>
      <c r="G278" s="11" t="s">
        <v>2072</v>
      </c>
      <c r="H278" s="9" t="s">
        <v>115</v>
      </c>
      <c r="I278" s="9" t="s">
        <v>116</v>
      </c>
      <c r="J278" s="9" t="s">
        <v>2073</v>
      </c>
    </row>
    <row r="279" spans="1:10">
      <c r="A279" s="8">
        <v>67739</v>
      </c>
      <c r="B279" s="10" t="s">
        <v>2214</v>
      </c>
      <c r="C279" s="11" t="s">
        <v>2192</v>
      </c>
      <c r="D279" s="11" t="s">
        <v>2865</v>
      </c>
      <c r="E279" s="11">
        <v>1835.61</v>
      </c>
      <c r="F279" s="11" t="s">
        <v>475</v>
      </c>
      <c r="G279" s="11" t="s">
        <v>2072</v>
      </c>
      <c r="H279" s="9" t="s">
        <v>115</v>
      </c>
      <c r="I279" s="9" t="s">
        <v>116</v>
      </c>
      <c r="J279" s="9" t="s">
        <v>2073</v>
      </c>
    </row>
    <row r="280" spans="1:10">
      <c r="A280" s="8">
        <v>40305</v>
      </c>
      <c r="B280" s="10" t="s">
        <v>1716</v>
      </c>
      <c r="C280" s="11" t="s">
        <v>594</v>
      </c>
      <c r="D280" s="11" t="s">
        <v>2597</v>
      </c>
      <c r="E280" s="11">
        <v>1520.05</v>
      </c>
      <c r="F280" s="11" t="s">
        <v>155</v>
      </c>
      <c r="G280" s="11" t="s">
        <v>2072</v>
      </c>
      <c r="H280" s="9" t="s">
        <v>115</v>
      </c>
      <c r="I280" s="9" t="s">
        <v>116</v>
      </c>
      <c r="J280" s="9" t="s">
        <v>2073</v>
      </c>
    </row>
    <row r="281" spans="1:10">
      <c r="A281" s="8">
        <v>55453</v>
      </c>
      <c r="B281" s="10" t="s">
        <v>1717</v>
      </c>
      <c r="C281" s="11" t="s">
        <v>595</v>
      </c>
      <c r="D281" s="11" t="s">
        <v>2730</v>
      </c>
      <c r="E281" s="11">
        <v>1835.61</v>
      </c>
      <c r="F281" s="11" t="s">
        <v>475</v>
      </c>
      <c r="G281" s="11" t="s">
        <v>2074</v>
      </c>
      <c r="H281" s="9" t="s">
        <v>153</v>
      </c>
      <c r="I281" s="9" t="s">
        <v>154</v>
      </c>
      <c r="J281" s="9" t="s">
        <v>2073</v>
      </c>
    </row>
    <row r="282" spans="1:10">
      <c r="A282" s="8">
        <v>6400</v>
      </c>
      <c r="B282" s="10" t="s">
        <v>1718</v>
      </c>
      <c r="C282" s="11" t="s">
        <v>596</v>
      </c>
      <c r="D282" s="11" t="s">
        <v>2463</v>
      </c>
      <c r="E282" s="11">
        <v>1520.04</v>
      </c>
      <c r="F282" s="11" t="s">
        <v>155</v>
      </c>
      <c r="G282" s="11" t="s">
        <v>2072</v>
      </c>
      <c r="H282" s="9" t="s">
        <v>243</v>
      </c>
      <c r="I282" s="9" t="s">
        <v>244</v>
      </c>
      <c r="J282" s="9" t="s">
        <v>2073</v>
      </c>
    </row>
    <row r="283" spans="1:10">
      <c r="A283" s="8">
        <v>57701</v>
      </c>
      <c r="B283" s="10" t="s">
        <v>597</v>
      </c>
      <c r="C283" s="11" t="s">
        <v>598</v>
      </c>
      <c r="D283" s="11" t="s">
        <v>2748</v>
      </c>
      <c r="E283" s="11">
        <v>822.96</v>
      </c>
      <c r="F283" s="11" t="s">
        <v>133</v>
      </c>
      <c r="G283" s="11" t="s">
        <v>2072</v>
      </c>
      <c r="H283" s="9" t="s">
        <v>234</v>
      </c>
      <c r="I283" s="9" t="s">
        <v>235</v>
      </c>
      <c r="J283" s="9" t="s">
        <v>2073</v>
      </c>
    </row>
    <row r="284" spans="1:10">
      <c r="A284" s="8">
        <v>54151</v>
      </c>
      <c r="B284" s="10" t="s">
        <v>1719</v>
      </c>
      <c r="C284" s="11" t="s">
        <v>600</v>
      </c>
      <c r="D284" s="11" t="s">
        <v>2707</v>
      </c>
      <c r="E284" s="11">
        <v>1520.04</v>
      </c>
      <c r="F284" s="11" t="s">
        <v>155</v>
      </c>
      <c r="G284" s="11" t="s">
        <v>2074</v>
      </c>
      <c r="H284" s="9" t="s">
        <v>164</v>
      </c>
      <c r="I284" s="9" t="s">
        <v>165</v>
      </c>
      <c r="J284" s="9" t="s">
        <v>2073</v>
      </c>
    </row>
    <row r="285" spans="1:10">
      <c r="A285" s="8">
        <v>38071</v>
      </c>
      <c r="B285" s="10" t="s">
        <v>1427</v>
      </c>
      <c r="C285" s="11" t="s">
        <v>601</v>
      </c>
      <c r="D285" s="11" t="s">
        <v>2412</v>
      </c>
      <c r="E285" s="11">
        <v>2110.38</v>
      </c>
      <c r="F285" s="11" t="s">
        <v>0</v>
      </c>
      <c r="G285" s="11" t="s">
        <v>2074</v>
      </c>
      <c r="H285" s="9" t="s">
        <v>306</v>
      </c>
      <c r="I285" s="9" t="s">
        <v>307</v>
      </c>
      <c r="J285" s="9" t="s">
        <v>2073</v>
      </c>
    </row>
    <row r="286" spans="1:10">
      <c r="A286" s="8">
        <v>56180</v>
      </c>
      <c r="B286" s="10" t="s">
        <v>1347</v>
      </c>
      <c r="C286" s="11" t="s">
        <v>98</v>
      </c>
      <c r="D286" s="11" t="s">
        <v>2413</v>
      </c>
      <c r="E286" s="11">
        <v>2110.38</v>
      </c>
      <c r="F286" s="11" t="s">
        <v>0</v>
      </c>
      <c r="G286" s="11" t="s">
        <v>2072</v>
      </c>
      <c r="H286" s="9" t="s">
        <v>602</v>
      </c>
      <c r="I286" s="9" t="s">
        <v>603</v>
      </c>
      <c r="J286" s="9" t="s">
        <v>2103</v>
      </c>
    </row>
    <row r="287" spans="1:10">
      <c r="A287" s="8">
        <v>53058</v>
      </c>
      <c r="B287" s="10" t="s">
        <v>1720</v>
      </c>
      <c r="C287" s="11" t="s">
        <v>605</v>
      </c>
      <c r="D287" s="11" t="s">
        <v>2690</v>
      </c>
      <c r="E287" s="11">
        <v>737.88</v>
      </c>
      <c r="F287" s="11" t="s">
        <v>129</v>
      </c>
      <c r="G287" s="11" t="s">
        <v>2074</v>
      </c>
      <c r="H287" s="9" t="s">
        <v>211</v>
      </c>
      <c r="I287" s="9" t="s">
        <v>93</v>
      </c>
      <c r="J287" s="9" t="s">
        <v>2080</v>
      </c>
    </row>
    <row r="288" spans="1:10">
      <c r="A288" s="8">
        <v>50683</v>
      </c>
      <c r="B288" s="10" t="s">
        <v>607</v>
      </c>
      <c r="C288" s="11" t="s">
        <v>608</v>
      </c>
      <c r="D288" s="11" t="s">
        <v>2440</v>
      </c>
      <c r="E288" s="11">
        <v>178.57</v>
      </c>
      <c r="F288" s="11" t="s">
        <v>129</v>
      </c>
      <c r="G288" s="11" t="s">
        <v>2072</v>
      </c>
      <c r="H288" s="9" t="s">
        <v>609</v>
      </c>
      <c r="I288" s="9" t="s">
        <v>610</v>
      </c>
      <c r="J288" s="9" t="s">
        <v>2136</v>
      </c>
    </row>
    <row r="289" spans="1:10">
      <c r="A289" s="8">
        <v>58323</v>
      </c>
      <c r="B289" s="10" t="s">
        <v>613</v>
      </c>
      <c r="C289" s="11" t="s">
        <v>614</v>
      </c>
      <c r="D289" s="11" t="s">
        <v>2757</v>
      </c>
      <c r="E289" s="11">
        <v>737.88</v>
      </c>
      <c r="F289" s="11" t="s">
        <v>129</v>
      </c>
      <c r="G289" s="11" t="s">
        <v>2072</v>
      </c>
      <c r="H289" s="9" t="s">
        <v>366</v>
      </c>
      <c r="I289" s="9" t="s">
        <v>367</v>
      </c>
      <c r="J289" s="9" t="s">
        <v>2073</v>
      </c>
    </row>
    <row r="290" spans="1:10">
      <c r="A290" s="8">
        <v>66321</v>
      </c>
      <c r="B290" s="10" t="s">
        <v>1722</v>
      </c>
      <c r="C290" s="11" t="s">
        <v>1309</v>
      </c>
      <c r="D290" s="11" t="s">
        <v>2422</v>
      </c>
      <c r="E290" s="11">
        <v>603.73</v>
      </c>
      <c r="F290" s="11" t="s">
        <v>129</v>
      </c>
      <c r="G290" s="11" t="s">
        <v>2072</v>
      </c>
      <c r="H290" s="9" t="s">
        <v>569</v>
      </c>
      <c r="I290" s="9" t="s">
        <v>56</v>
      </c>
      <c r="J290" s="9" t="s">
        <v>2089</v>
      </c>
    </row>
    <row r="291" spans="1:10">
      <c r="A291" s="8">
        <v>56047</v>
      </c>
      <c r="B291" s="10" t="s">
        <v>1428</v>
      </c>
      <c r="C291" s="11" t="s">
        <v>14</v>
      </c>
      <c r="D291" s="11" t="s">
        <v>2413</v>
      </c>
      <c r="E291" s="11">
        <v>2110.38</v>
      </c>
      <c r="F291" s="11" t="s">
        <v>0</v>
      </c>
      <c r="G291" s="11" t="s">
        <v>2072</v>
      </c>
      <c r="H291" s="9" t="s">
        <v>306</v>
      </c>
      <c r="I291" s="9" t="s">
        <v>307</v>
      </c>
      <c r="J291" s="9" t="s">
        <v>2073</v>
      </c>
    </row>
    <row r="292" spans="1:10">
      <c r="A292" s="8">
        <v>37547</v>
      </c>
      <c r="B292" s="10" t="s">
        <v>1723</v>
      </c>
      <c r="C292" s="11" t="s">
        <v>618</v>
      </c>
      <c r="D292" s="11" t="s">
        <v>2585</v>
      </c>
      <c r="E292" s="11">
        <v>878.5</v>
      </c>
      <c r="F292" s="11" t="s">
        <v>113</v>
      </c>
      <c r="G292" s="11" t="s">
        <v>2072</v>
      </c>
      <c r="H292" s="9" t="s">
        <v>135</v>
      </c>
      <c r="I292" s="9" t="s">
        <v>84</v>
      </c>
      <c r="J292" s="9" t="s">
        <v>2104</v>
      </c>
    </row>
    <row r="293" spans="1:10">
      <c r="A293" s="8">
        <v>15640</v>
      </c>
      <c r="B293" s="10" t="s">
        <v>619</v>
      </c>
      <c r="C293" s="11" t="s">
        <v>620</v>
      </c>
      <c r="D293" s="11" t="s">
        <v>2496</v>
      </c>
      <c r="E293" s="11">
        <v>955.15</v>
      </c>
      <c r="F293" s="11" t="s">
        <v>113</v>
      </c>
      <c r="G293" s="11" t="s">
        <v>2072</v>
      </c>
      <c r="H293" s="9" t="s">
        <v>131</v>
      </c>
      <c r="I293" s="9" t="s">
        <v>132</v>
      </c>
      <c r="J293" s="9" t="s">
        <v>2073</v>
      </c>
    </row>
    <row r="294" spans="1:10">
      <c r="A294" s="8">
        <v>45043</v>
      </c>
      <c r="B294" s="10" t="s">
        <v>622</v>
      </c>
      <c r="C294" s="11" t="s">
        <v>621</v>
      </c>
      <c r="D294" s="11" t="s">
        <v>2615</v>
      </c>
      <c r="E294" s="11">
        <v>737.88</v>
      </c>
      <c r="F294" s="11" t="s">
        <v>122</v>
      </c>
      <c r="G294" s="11" t="s">
        <v>2072</v>
      </c>
      <c r="H294" s="9" t="s">
        <v>164</v>
      </c>
      <c r="I294" s="9" t="s">
        <v>165</v>
      </c>
      <c r="J294" s="9" t="s">
        <v>2073</v>
      </c>
    </row>
    <row r="295" spans="1:10">
      <c r="A295" s="8">
        <v>46875</v>
      </c>
      <c r="B295" s="10" t="s">
        <v>624</v>
      </c>
      <c r="C295" s="11" t="s">
        <v>625</v>
      </c>
      <c r="D295" s="11" t="s">
        <v>2622</v>
      </c>
      <c r="E295" s="11">
        <v>1520.04</v>
      </c>
      <c r="F295" s="11" t="s">
        <v>155</v>
      </c>
      <c r="G295" s="11" t="s">
        <v>2072</v>
      </c>
      <c r="H295" s="9" t="s">
        <v>248</v>
      </c>
      <c r="I295" s="9" t="s">
        <v>249</v>
      </c>
      <c r="J295" s="9" t="s">
        <v>2073</v>
      </c>
    </row>
    <row r="296" spans="1:10">
      <c r="A296" s="8">
        <v>40129</v>
      </c>
      <c r="B296" s="10" t="s">
        <v>1724</v>
      </c>
      <c r="C296" s="11" t="s">
        <v>626</v>
      </c>
      <c r="D296" s="11" t="s">
        <v>2594</v>
      </c>
      <c r="E296" s="11">
        <v>1520.04</v>
      </c>
      <c r="F296" s="11" t="s">
        <v>155</v>
      </c>
      <c r="G296" s="11" t="s">
        <v>2072</v>
      </c>
      <c r="H296" s="9" t="s">
        <v>115</v>
      </c>
      <c r="I296" s="9" t="s">
        <v>116</v>
      </c>
      <c r="J296" s="9" t="s">
        <v>2073</v>
      </c>
    </row>
    <row r="297" spans="1:10">
      <c r="A297" s="8">
        <v>63724</v>
      </c>
      <c r="B297" s="10" t="s">
        <v>1221</v>
      </c>
      <c r="C297" s="11" t="s">
        <v>1218</v>
      </c>
      <c r="D297" s="11" t="s">
        <v>2814</v>
      </c>
      <c r="E297" s="11">
        <v>737.88</v>
      </c>
      <c r="F297" s="11" t="s">
        <v>129</v>
      </c>
      <c r="G297" s="11" t="s">
        <v>2072</v>
      </c>
      <c r="H297" s="9" t="s">
        <v>153</v>
      </c>
      <c r="I297" s="9" t="s">
        <v>154</v>
      </c>
      <c r="J297" s="9" t="s">
        <v>2073</v>
      </c>
    </row>
    <row r="298" spans="1:10">
      <c r="A298" s="8">
        <v>37424</v>
      </c>
      <c r="B298" s="10" t="s">
        <v>1726</v>
      </c>
      <c r="C298" s="11" t="s">
        <v>628</v>
      </c>
      <c r="D298" s="11" t="s">
        <v>2581</v>
      </c>
      <c r="E298" s="11">
        <v>1835.61</v>
      </c>
      <c r="F298" s="11" t="s">
        <v>475</v>
      </c>
      <c r="G298" s="11" t="s">
        <v>2072</v>
      </c>
      <c r="H298" s="9" t="s">
        <v>115</v>
      </c>
      <c r="I298" s="9" t="s">
        <v>116</v>
      </c>
      <c r="J298" s="9" t="s">
        <v>2073</v>
      </c>
    </row>
    <row r="299" spans="1:10">
      <c r="A299" s="8">
        <v>61312</v>
      </c>
      <c r="B299" s="10" t="s">
        <v>1727</v>
      </c>
      <c r="C299" s="11" t="s">
        <v>629</v>
      </c>
      <c r="D299" s="11" t="s">
        <v>2793</v>
      </c>
      <c r="E299" s="11">
        <v>737.88</v>
      </c>
      <c r="F299" s="11" t="s">
        <v>122</v>
      </c>
      <c r="G299" s="11" t="s">
        <v>2072</v>
      </c>
      <c r="H299" s="9" t="s">
        <v>366</v>
      </c>
      <c r="I299" s="9" t="s">
        <v>367</v>
      </c>
      <c r="J299" s="9" t="s">
        <v>2073</v>
      </c>
    </row>
    <row r="300" spans="1:10">
      <c r="A300" s="8">
        <v>61512</v>
      </c>
      <c r="B300" s="10" t="s">
        <v>1728</v>
      </c>
      <c r="C300" s="11" t="s">
        <v>631</v>
      </c>
      <c r="D300" s="11" t="s">
        <v>2637</v>
      </c>
      <c r="E300" s="11">
        <v>737.88</v>
      </c>
      <c r="F300" s="11" t="s">
        <v>122</v>
      </c>
      <c r="G300" s="11" t="s">
        <v>2072</v>
      </c>
      <c r="H300" s="9" t="s">
        <v>277</v>
      </c>
      <c r="I300" s="9" t="s">
        <v>53</v>
      </c>
      <c r="J300" s="9" t="s">
        <v>2075</v>
      </c>
    </row>
    <row r="301" spans="1:10">
      <c r="A301" s="8">
        <v>59015</v>
      </c>
      <c r="B301" s="10" t="s">
        <v>1729</v>
      </c>
      <c r="C301" s="11" t="s">
        <v>633</v>
      </c>
      <c r="D301" s="11" t="s">
        <v>2764</v>
      </c>
      <c r="E301" s="11">
        <v>1520.04</v>
      </c>
      <c r="F301" s="11" t="s">
        <v>155</v>
      </c>
      <c r="G301" s="11" t="s">
        <v>2072</v>
      </c>
      <c r="H301" s="9" t="s">
        <v>343</v>
      </c>
      <c r="I301" s="9" t="s">
        <v>344</v>
      </c>
      <c r="J301" s="9" t="s">
        <v>2099</v>
      </c>
    </row>
    <row r="302" spans="1:10">
      <c r="A302" s="8">
        <v>64936</v>
      </c>
      <c r="B302" s="10" t="s">
        <v>1730</v>
      </c>
      <c r="C302" s="11" t="s">
        <v>1257</v>
      </c>
      <c r="D302" s="11" t="s">
        <v>2407</v>
      </c>
      <c r="E302" s="11">
        <v>714.24</v>
      </c>
      <c r="F302" s="11" t="s">
        <v>122</v>
      </c>
      <c r="G302" s="11" t="s">
        <v>2072</v>
      </c>
      <c r="H302" s="9" t="s">
        <v>1258</v>
      </c>
      <c r="I302" s="9" t="s">
        <v>1259</v>
      </c>
      <c r="J302" s="9" t="s">
        <v>2175</v>
      </c>
    </row>
    <row r="303" spans="1:10">
      <c r="A303" s="8">
        <v>56134</v>
      </c>
      <c r="B303" s="10" t="s">
        <v>1429</v>
      </c>
      <c r="C303" s="11" t="s">
        <v>60</v>
      </c>
      <c r="D303" s="11" t="s">
        <v>2413</v>
      </c>
      <c r="E303" s="11">
        <v>2110.38</v>
      </c>
      <c r="F303" s="11" t="s">
        <v>0</v>
      </c>
      <c r="G303" s="11" t="s">
        <v>2072</v>
      </c>
      <c r="H303" s="9" t="s">
        <v>456</v>
      </c>
      <c r="I303" s="9" t="s">
        <v>457</v>
      </c>
      <c r="J303" s="9" t="s">
        <v>2079</v>
      </c>
    </row>
    <row r="304" spans="1:10">
      <c r="A304" s="8">
        <v>57317</v>
      </c>
      <c r="B304" s="10" t="s">
        <v>1731</v>
      </c>
      <c r="C304" s="11" t="s">
        <v>634</v>
      </c>
      <c r="D304" s="11" t="s">
        <v>2743</v>
      </c>
      <c r="E304" s="11">
        <v>737.88</v>
      </c>
      <c r="F304" s="11" t="s">
        <v>420</v>
      </c>
      <c r="G304" s="11" t="s">
        <v>2072</v>
      </c>
      <c r="H304" s="9" t="s">
        <v>131</v>
      </c>
      <c r="I304" s="9" t="s">
        <v>132</v>
      </c>
      <c r="J304" s="9" t="s">
        <v>2073</v>
      </c>
    </row>
    <row r="305" spans="1:10">
      <c r="A305" s="8">
        <v>54358</v>
      </c>
      <c r="B305" s="10" t="s">
        <v>1732</v>
      </c>
      <c r="C305" s="11" t="s">
        <v>635</v>
      </c>
      <c r="D305" s="11" t="s">
        <v>2711</v>
      </c>
      <c r="E305" s="11">
        <v>737.88</v>
      </c>
      <c r="F305" s="11" t="s">
        <v>122</v>
      </c>
      <c r="G305" s="11" t="s">
        <v>2072</v>
      </c>
      <c r="H305" s="9" t="s">
        <v>438</v>
      </c>
      <c r="I305" s="9" t="s">
        <v>439</v>
      </c>
      <c r="J305" s="9" t="s">
        <v>2073</v>
      </c>
    </row>
    <row r="306" spans="1:10">
      <c r="A306" s="8">
        <v>37639</v>
      </c>
      <c r="B306" s="10" t="s">
        <v>636</v>
      </c>
      <c r="C306" s="11" t="s">
        <v>637</v>
      </c>
      <c r="D306" s="11" t="s">
        <v>2585</v>
      </c>
      <c r="E306" s="11">
        <v>178.59</v>
      </c>
      <c r="F306" s="11" t="s">
        <v>129</v>
      </c>
      <c r="G306" s="11" t="s">
        <v>2072</v>
      </c>
      <c r="H306" s="9" t="s">
        <v>638</v>
      </c>
      <c r="I306" s="9" t="s">
        <v>639</v>
      </c>
      <c r="J306" s="9" t="s">
        <v>2113</v>
      </c>
    </row>
    <row r="307" spans="1:10">
      <c r="A307" s="8">
        <v>68682</v>
      </c>
      <c r="B307" s="10" t="s">
        <v>2331</v>
      </c>
      <c r="C307" s="11" t="s">
        <v>2332</v>
      </c>
      <c r="D307" s="11" t="s">
        <v>2879</v>
      </c>
      <c r="E307" s="11">
        <v>737.88</v>
      </c>
      <c r="F307" s="11" t="s">
        <v>129</v>
      </c>
      <c r="G307" s="11" t="s">
        <v>2072</v>
      </c>
      <c r="H307" s="9" t="s">
        <v>146</v>
      </c>
      <c r="I307" s="9" t="s">
        <v>4</v>
      </c>
      <c r="J307" s="9" t="s">
        <v>2073</v>
      </c>
    </row>
    <row r="308" spans="1:10">
      <c r="A308" s="8">
        <v>68649</v>
      </c>
      <c r="B308" s="10" t="s">
        <v>2333</v>
      </c>
      <c r="C308" s="11" t="s">
        <v>2334</v>
      </c>
      <c r="D308" s="11" t="s">
        <v>2452</v>
      </c>
      <c r="E308" s="11">
        <v>878.5</v>
      </c>
      <c r="F308" s="11" t="s">
        <v>113</v>
      </c>
      <c r="G308" s="11" t="s">
        <v>2112</v>
      </c>
      <c r="H308" s="9" t="s">
        <v>710</v>
      </c>
      <c r="I308" s="9" t="s">
        <v>72</v>
      </c>
      <c r="J308" s="9" t="s">
        <v>2082</v>
      </c>
    </row>
    <row r="309" spans="1:10">
      <c r="A309" s="8">
        <v>68539</v>
      </c>
      <c r="B309" s="10" t="s">
        <v>2335</v>
      </c>
      <c r="C309" s="11" t="s">
        <v>2336</v>
      </c>
      <c r="D309" s="11" t="s">
        <v>2859</v>
      </c>
      <c r="E309" s="11">
        <v>178.58</v>
      </c>
      <c r="F309" s="11" t="s">
        <v>129</v>
      </c>
      <c r="G309" s="11" t="s">
        <v>2072</v>
      </c>
      <c r="H309" s="9" t="s">
        <v>959</v>
      </c>
      <c r="I309" s="9" t="s">
        <v>960</v>
      </c>
      <c r="J309" s="9" t="s">
        <v>2158</v>
      </c>
    </row>
    <row r="310" spans="1:10">
      <c r="A310" s="8">
        <v>56096</v>
      </c>
      <c r="B310" s="10" t="s">
        <v>1430</v>
      </c>
      <c r="C310" s="11" t="s">
        <v>57</v>
      </c>
      <c r="D310" s="11" t="s">
        <v>2413</v>
      </c>
      <c r="E310" s="11">
        <v>2110.38</v>
      </c>
      <c r="F310" s="11" t="s">
        <v>0</v>
      </c>
      <c r="G310" s="11" t="s">
        <v>2072</v>
      </c>
      <c r="H310" s="9" t="s">
        <v>573</v>
      </c>
      <c r="I310" s="9" t="s">
        <v>574</v>
      </c>
      <c r="J310" s="9" t="s">
        <v>2089</v>
      </c>
    </row>
    <row r="311" spans="1:10">
      <c r="A311" s="8">
        <v>30828</v>
      </c>
      <c r="B311" s="10" t="s">
        <v>518</v>
      </c>
      <c r="C311" s="11" t="s">
        <v>640</v>
      </c>
      <c r="D311" s="11" t="s">
        <v>2919</v>
      </c>
      <c r="E311" s="11">
        <v>955.15</v>
      </c>
      <c r="F311" s="11" t="s">
        <v>113</v>
      </c>
      <c r="G311" s="11" t="s">
        <v>2072</v>
      </c>
      <c r="H311" s="9" t="s">
        <v>326</v>
      </c>
      <c r="I311" s="9" t="s">
        <v>327</v>
      </c>
      <c r="J311" s="9" t="s">
        <v>2079</v>
      </c>
    </row>
    <row r="312" spans="1:10">
      <c r="A312" s="8">
        <v>19757</v>
      </c>
      <c r="B312" s="10" t="s">
        <v>517</v>
      </c>
      <c r="C312" s="11" t="s">
        <v>15</v>
      </c>
      <c r="D312" s="11" t="s">
        <v>2408</v>
      </c>
      <c r="E312" s="11">
        <v>2110.38</v>
      </c>
      <c r="F312" s="11" t="s">
        <v>0</v>
      </c>
      <c r="G312" s="11" t="s">
        <v>2072</v>
      </c>
      <c r="H312" s="9" t="s">
        <v>306</v>
      </c>
      <c r="I312" s="9" t="s">
        <v>307</v>
      </c>
      <c r="J312" s="9" t="s">
        <v>2073</v>
      </c>
    </row>
    <row r="313" spans="1:10">
      <c r="A313" s="8">
        <v>15003</v>
      </c>
      <c r="B313" s="10" t="s">
        <v>465</v>
      </c>
      <c r="C313" s="11" t="s">
        <v>641</v>
      </c>
      <c r="D313" s="11" t="s">
        <v>2490</v>
      </c>
      <c r="E313" s="11">
        <v>1520.04</v>
      </c>
      <c r="F313" s="11" t="s">
        <v>155</v>
      </c>
      <c r="G313" s="11" t="s">
        <v>2072</v>
      </c>
      <c r="H313" s="9" t="s">
        <v>211</v>
      </c>
      <c r="I313" s="9" t="s">
        <v>93</v>
      </c>
      <c r="J313" s="9" t="s">
        <v>2080</v>
      </c>
    </row>
    <row r="314" spans="1:10">
      <c r="A314" s="8">
        <v>57332</v>
      </c>
      <c r="B314" s="10" t="s">
        <v>1285</v>
      </c>
      <c r="C314" s="11" t="s">
        <v>642</v>
      </c>
      <c r="D314" s="11" t="s">
        <v>2745</v>
      </c>
      <c r="E314" s="11">
        <v>737.88</v>
      </c>
      <c r="F314" s="11" t="s">
        <v>129</v>
      </c>
      <c r="G314" s="11" t="s">
        <v>2072</v>
      </c>
      <c r="H314" s="9" t="s">
        <v>211</v>
      </c>
      <c r="I314" s="9" t="s">
        <v>93</v>
      </c>
      <c r="J314" s="9" t="s">
        <v>2080</v>
      </c>
    </row>
    <row r="315" spans="1:10">
      <c r="A315" s="8">
        <v>56137</v>
      </c>
      <c r="B315" s="10" t="s">
        <v>1431</v>
      </c>
      <c r="C315" s="11" t="s">
        <v>91</v>
      </c>
      <c r="D315" s="11" t="s">
        <v>2413</v>
      </c>
      <c r="E315" s="11">
        <v>2110.38</v>
      </c>
      <c r="F315" s="11" t="s">
        <v>0</v>
      </c>
      <c r="G315" s="11" t="s">
        <v>2072</v>
      </c>
      <c r="H315" s="9" t="s">
        <v>216</v>
      </c>
      <c r="I315" s="9" t="s">
        <v>217</v>
      </c>
      <c r="J315" s="9" t="s">
        <v>2076</v>
      </c>
    </row>
    <row r="316" spans="1:10">
      <c r="A316" s="8">
        <v>51587</v>
      </c>
      <c r="B316" s="10" t="s">
        <v>1733</v>
      </c>
      <c r="C316" s="11" t="s">
        <v>644</v>
      </c>
      <c r="D316" s="11" t="s">
        <v>2671</v>
      </c>
      <c r="E316" s="11">
        <v>955.14</v>
      </c>
      <c r="F316" s="11" t="s">
        <v>113</v>
      </c>
      <c r="G316" s="11" t="s">
        <v>2074</v>
      </c>
      <c r="H316" s="9" t="s">
        <v>225</v>
      </c>
      <c r="I316" s="9" t="s">
        <v>226</v>
      </c>
      <c r="J316" s="9" t="s">
        <v>2073</v>
      </c>
    </row>
    <row r="317" spans="1:10">
      <c r="A317" s="8">
        <v>67896</v>
      </c>
      <c r="B317" s="10" t="s">
        <v>2215</v>
      </c>
      <c r="C317" s="11" t="s">
        <v>2216</v>
      </c>
      <c r="D317" s="11" t="s">
        <v>2868</v>
      </c>
      <c r="E317" s="11">
        <v>737.88</v>
      </c>
      <c r="F317" s="11" t="s">
        <v>420</v>
      </c>
      <c r="G317" s="11" t="s">
        <v>2072</v>
      </c>
      <c r="H317" s="9" t="s">
        <v>178</v>
      </c>
      <c r="I317" s="9" t="s">
        <v>179</v>
      </c>
      <c r="J317" s="9" t="s">
        <v>2073</v>
      </c>
    </row>
    <row r="318" spans="1:10">
      <c r="A318" s="8">
        <v>58273</v>
      </c>
      <c r="B318" s="10" t="s">
        <v>1734</v>
      </c>
      <c r="C318" s="11" t="s">
        <v>645</v>
      </c>
      <c r="D318" s="11" t="s">
        <v>2754</v>
      </c>
      <c r="E318" s="11">
        <v>737.88</v>
      </c>
      <c r="F318" s="11" t="s">
        <v>129</v>
      </c>
      <c r="G318" s="11" t="s">
        <v>2072</v>
      </c>
      <c r="H318" s="9" t="s">
        <v>277</v>
      </c>
      <c r="I318" s="9" t="s">
        <v>53</v>
      </c>
      <c r="J318" s="9" t="s">
        <v>2075</v>
      </c>
    </row>
    <row r="319" spans="1:10">
      <c r="A319" s="8">
        <v>65773</v>
      </c>
      <c r="B319" s="10" t="s">
        <v>1432</v>
      </c>
      <c r="C319" s="11" t="s">
        <v>1286</v>
      </c>
      <c r="D319" s="11" t="s">
        <v>2785</v>
      </c>
      <c r="E319" s="11">
        <v>2110.38</v>
      </c>
      <c r="F319" s="11" t="s">
        <v>0</v>
      </c>
      <c r="G319" s="11" t="s">
        <v>2072</v>
      </c>
      <c r="H319" s="9" t="s">
        <v>349</v>
      </c>
      <c r="I319" s="9" t="s">
        <v>350</v>
      </c>
      <c r="J319" s="9" t="s">
        <v>2097</v>
      </c>
    </row>
    <row r="320" spans="1:10">
      <c r="A320" s="8">
        <v>60346</v>
      </c>
      <c r="B320" s="10" t="s">
        <v>1436</v>
      </c>
      <c r="C320" s="11" t="s">
        <v>647</v>
      </c>
      <c r="D320" s="11" t="s">
        <v>2920</v>
      </c>
      <c r="E320" s="11">
        <v>2110.38</v>
      </c>
      <c r="F320" s="11" t="s">
        <v>0</v>
      </c>
      <c r="G320" s="11" t="s">
        <v>2072</v>
      </c>
      <c r="H320" s="9" t="s">
        <v>306</v>
      </c>
      <c r="I320" s="9" t="s">
        <v>307</v>
      </c>
      <c r="J320" s="9" t="s">
        <v>2073</v>
      </c>
    </row>
    <row r="321" spans="1:10">
      <c r="A321" s="8">
        <v>61605</v>
      </c>
      <c r="B321" s="10" t="s">
        <v>1735</v>
      </c>
      <c r="C321" s="11" t="s">
        <v>1178</v>
      </c>
      <c r="D321" s="11" t="s">
        <v>2637</v>
      </c>
      <c r="E321" s="11">
        <v>822.96</v>
      </c>
      <c r="F321" s="11" t="s">
        <v>133</v>
      </c>
      <c r="G321" s="11" t="s">
        <v>2072</v>
      </c>
      <c r="H321" s="9" t="s">
        <v>211</v>
      </c>
      <c r="I321" s="9" t="s">
        <v>93</v>
      </c>
      <c r="J321" s="9" t="s">
        <v>2080</v>
      </c>
    </row>
    <row r="322" spans="1:10">
      <c r="A322" s="8">
        <v>38714</v>
      </c>
      <c r="B322" s="10" t="s">
        <v>1736</v>
      </c>
      <c r="C322" s="11" t="s">
        <v>648</v>
      </c>
      <c r="D322" s="11" t="s">
        <v>2592</v>
      </c>
      <c r="E322" s="11">
        <v>1520.04</v>
      </c>
      <c r="F322" s="11" t="s">
        <v>155</v>
      </c>
      <c r="G322" s="11" t="s">
        <v>2072</v>
      </c>
      <c r="H322" s="9" t="s">
        <v>115</v>
      </c>
      <c r="I322" s="9" t="s">
        <v>116</v>
      </c>
      <c r="J322" s="9" t="s">
        <v>2073</v>
      </c>
    </row>
    <row r="323" spans="1:10">
      <c r="A323" s="8">
        <v>67142</v>
      </c>
      <c r="B323" s="10" t="s">
        <v>1737</v>
      </c>
      <c r="C323" s="11" t="s">
        <v>1738</v>
      </c>
      <c r="D323" s="11" t="s">
        <v>2853</v>
      </c>
      <c r="E323" s="11">
        <v>1520.04</v>
      </c>
      <c r="F323" s="11" t="s">
        <v>155</v>
      </c>
      <c r="G323" s="11" t="s">
        <v>2072</v>
      </c>
      <c r="H323" s="9" t="s">
        <v>331</v>
      </c>
      <c r="I323" s="9" t="s">
        <v>332</v>
      </c>
      <c r="J323" s="9" t="s">
        <v>2073</v>
      </c>
    </row>
    <row r="324" spans="1:10">
      <c r="A324" s="8">
        <v>32602</v>
      </c>
      <c r="B324" s="10" t="s">
        <v>1739</v>
      </c>
      <c r="C324" s="11" t="s">
        <v>649</v>
      </c>
      <c r="D324" s="11" t="s">
        <v>2560</v>
      </c>
      <c r="E324" s="11">
        <v>1520.04</v>
      </c>
      <c r="F324" s="11" t="s">
        <v>155</v>
      </c>
      <c r="G324" s="11" t="s">
        <v>2072</v>
      </c>
      <c r="H324" s="9" t="s">
        <v>234</v>
      </c>
      <c r="I324" s="9" t="s">
        <v>235</v>
      </c>
      <c r="J324" s="9" t="s">
        <v>2073</v>
      </c>
    </row>
    <row r="325" spans="1:10">
      <c r="A325" s="8">
        <v>44224</v>
      </c>
      <c r="B325" s="10" t="s">
        <v>1740</v>
      </c>
      <c r="C325" s="11" t="s">
        <v>651</v>
      </c>
      <c r="D325" s="11" t="s">
        <v>2609</v>
      </c>
      <c r="E325" s="11">
        <v>1520.04</v>
      </c>
      <c r="F325" s="11" t="s">
        <v>155</v>
      </c>
      <c r="G325" s="11" t="s">
        <v>2072</v>
      </c>
      <c r="H325" s="9" t="s">
        <v>153</v>
      </c>
      <c r="I325" s="9" t="s">
        <v>154</v>
      </c>
      <c r="J325" s="9" t="s">
        <v>2073</v>
      </c>
    </row>
    <row r="326" spans="1:10">
      <c r="A326" s="8">
        <v>59902</v>
      </c>
      <c r="B326" s="10" t="s">
        <v>1741</v>
      </c>
      <c r="C326" s="11" t="s">
        <v>652</v>
      </c>
      <c r="D326" s="11" t="s">
        <v>2776</v>
      </c>
      <c r="E326" s="11">
        <v>737.88</v>
      </c>
      <c r="F326" s="11" t="s">
        <v>420</v>
      </c>
      <c r="G326" s="11" t="s">
        <v>2072</v>
      </c>
      <c r="H326" s="9" t="s">
        <v>115</v>
      </c>
      <c r="I326" s="9" t="s">
        <v>116</v>
      </c>
      <c r="J326" s="9" t="s">
        <v>2073</v>
      </c>
    </row>
    <row r="327" spans="1:10">
      <c r="A327" s="8">
        <v>56176</v>
      </c>
      <c r="B327" s="10" t="s">
        <v>1437</v>
      </c>
      <c r="C327" s="11" t="s">
        <v>69</v>
      </c>
      <c r="D327" s="11" t="s">
        <v>2413</v>
      </c>
      <c r="E327" s="11">
        <v>2110.38</v>
      </c>
      <c r="F327" s="11" t="s">
        <v>0</v>
      </c>
      <c r="G327" s="11" t="s">
        <v>2072</v>
      </c>
      <c r="H327" s="9" t="s">
        <v>653</v>
      </c>
      <c r="I327" s="9" t="s">
        <v>654</v>
      </c>
      <c r="J327" s="9" t="s">
        <v>2084</v>
      </c>
    </row>
    <row r="328" spans="1:10">
      <c r="A328" s="8">
        <v>32412</v>
      </c>
      <c r="B328" s="10" t="s">
        <v>265</v>
      </c>
      <c r="C328" s="11" t="s">
        <v>655</v>
      </c>
      <c r="D328" s="11" t="s">
        <v>2556</v>
      </c>
      <c r="E328" s="11">
        <v>737.88</v>
      </c>
      <c r="F328" s="11" t="s">
        <v>122</v>
      </c>
      <c r="G328" s="11" t="s">
        <v>2072</v>
      </c>
      <c r="H328" s="9" t="s">
        <v>248</v>
      </c>
      <c r="I328" s="9" t="s">
        <v>249</v>
      </c>
      <c r="J328" s="9" t="s">
        <v>2073</v>
      </c>
    </row>
    <row r="329" spans="1:10">
      <c r="A329" s="8">
        <v>65265</v>
      </c>
      <c r="B329" s="10" t="s">
        <v>1742</v>
      </c>
      <c r="C329" s="11" t="s">
        <v>1287</v>
      </c>
      <c r="D329" s="11" t="s">
        <v>2831</v>
      </c>
      <c r="E329" s="11">
        <v>822.96</v>
      </c>
      <c r="F329" s="11" t="s">
        <v>133</v>
      </c>
      <c r="G329" s="11" t="s">
        <v>2072</v>
      </c>
      <c r="H329" s="9" t="s">
        <v>366</v>
      </c>
      <c r="I329" s="9" t="s">
        <v>367</v>
      </c>
      <c r="J329" s="9" t="s">
        <v>2073</v>
      </c>
    </row>
    <row r="330" spans="1:10">
      <c r="A330" s="8">
        <v>43871</v>
      </c>
      <c r="B330" s="10" t="s">
        <v>656</v>
      </c>
      <c r="C330" s="11" t="s">
        <v>657</v>
      </c>
      <c r="D330" s="11" t="s">
        <v>2608</v>
      </c>
      <c r="E330" s="11">
        <v>1150.67</v>
      </c>
      <c r="F330" s="11" t="s">
        <v>147</v>
      </c>
      <c r="G330" s="11" t="s">
        <v>2072</v>
      </c>
      <c r="H330" s="9" t="s">
        <v>131</v>
      </c>
      <c r="I330" s="9" t="s">
        <v>132</v>
      </c>
      <c r="J330" s="9" t="s">
        <v>2073</v>
      </c>
    </row>
    <row r="331" spans="1:10">
      <c r="A331" s="8">
        <v>60111</v>
      </c>
      <c r="B331" s="10" t="s">
        <v>1743</v>
      </c>
      <c r="C331" s="11" t="s">
        <v>658</v>
      </c>
      <c r="D331" s="11" t="s">
        <v>2779</v>
      </c>
      <c r="E331" s="11">
        <v>822.96</v>
      </c>
      <c r="F331" s="11" t="s">
        <v>133</v>
      </c>
      <c r="G331" s="11" t="s">
        <v>2072</v>
      </c>
      <c r="H331" s="9" t="s">
        <v>146</v>
      </c>
      <c r="I331" s="9" t="s">
        <v>4</v>
      </c>
      <c r="J331" s="9" t="s">
        <v>2073</v>
      </c>
    </row>
    <row r="332" spans="1:10">
      <c r="A332" s="8">
        <v>65867</v>
      </c>
      <c r="B332" s="10" t="s">
        <v>1744</v>
      </c>
      <c r="C332" s="11" t="s">
        <v>1310</v>
      </c>
      <c r="D332" s="11" t="s">
        <v>2838</v>
      </c>
      <c r="E332" s="11">
        <v>1093.3699999999999</v>
      </c>
      <c r="F332" s="11" t="s">
        <v>117</v>
      </c>
      <c r="G332" s="11" t="s">
        <v>2072</v>
      </c>
      <c r="H332" s="9" t="s">
        <v>146</v>
      </c>
      <c r="I332" s="9" t="s">
        <v>4</v>
      </c>
      <c r="J332" s="9" t="s">
        <v>2073</v>
      </c>
    </row>
    <row r="333" spans="1:10">
      <c r="A333" s="8">
        <v>68035</v>
      </c>
      <c r="B333" s="10" t="s">
        <v>2217</v>
      </c>
      <c r="C333" s="11" t="s">
        <v>2218</v>
      </c>
      <c r="D333" s="11" t="s">
        <v>2870</v>
      </c>
      <c r="E333" s="11">
        <v>737.88</v>
      </c>
      <c r="F333" s="11" t="s">
        <v>420</v>
      </c>
      <c r="G333" s="11" t="s">
        <v>2072</v>
      </c>
      <c r="H333" s="9" t="s">
        <v>248</v>
      </c>
      <c r="I333" s="9" t="s">
        <v>249</v>
      </c>
      <c r="J333" s="9" t="s">
        <v>2073</v>
      </c>
    </row>
    <row r="334" spans="1:10">
      <c r="A334" s="8">
        <v>57053</v>
      </c>
      <c r="B334" s="10" t="s">
        <v>1442</v>
      </c>
      <c r="C334" s="11" t="s">
        <v>16</v>
      </c>
      <c r="D334" s="11" t="s">
        <v>2417</v>
      </c>
      <c r="E334" s="11">
        <v>2110.38</v>
      </c>
      <c r="F334" s="11" t="s">
        <v>0</v>
      </c>
      <c r="G334" s="11" t="s">
        <v>2072</v>
      </c>
      <c r="H334" s="9" t="s">
        <v>306</v>
      </c>
      <c r="I334" s="9" t="s">
        <v>307</v>
      </c>
      <c r="J334" s="9" t="s">
        <v>2073</v>
      </c>
    </row>
    <row r="335" spans="1:10">
      <c r="A335" s="8">
        <v>57734</v>
      </c>
      <c r="B335" s="10" t="s">
        <v>1745</v>
      </c>
      <c r="C335" s="11" t="s">
        <v>659</v>
      </c>
      <c r="D335" s="11" t="s">
        <v>2921</v>
      </c>
      <c r="E335" s="11">
        <v>822.96</v>
      </c>
      <c r="F335" s="11" t="s">
        <v>133</v>
      </c>
      <c r="G335" s="11" t="s">
        <v>2072</v>
      </c>
      <c r="H335" s="9" t="s">
        <v>211</v>
      </c>
      <c r="I335" s="9" t="s">
        <v>93</v>
      </c>
      <c r="J335" s="9" t="s">
        <v>2080</v>
      </c>
    </row>
    <row r="336" spans="1:10">
      <c r="A336" s="8">
        <v>60498</v>
      </c>
      <c r="B336" s="10" t="s">
        <v>1746</v>
      </c>
      <c r="C336" s="11" t="s">
        <v>660</v>
      </c>
      <c r="D336" s="11" t="s">
        <v>2786</v>
      </c>
      <c r="E336" s="11">
        <v>822.96</v>
      </c>
      <c r="F336" s="11" t="s">
        <v>133</v>
      </c>
      <c r="G336" s="11" t="s">
        <v>2072</v>
      </c>
      <c r="H336" s="9" t="s">
        <v>250</v>
      </c>
      <c r="I336" s="9" t="s">
        <v>90</v>
      </c>
      <c r="J336" s="9" t="s">
        <v>2076</v>
      </c>
    </row>
    <row r="337" spans="1:10">
      <c r="A337" s="8">
        <v>60135</v>
      </c>
      <c r="B337" s="10" t="s">
        <v>1747</v>
      </c>
      <c r="C337" s="11" t="s">
        <v>661</v>
      </c>
      <c r="D337" s="11" t="s">
        <v>2780</v>
      </c>
      <c r="E337" s="11">
        <v>737.88</v>
      </c>
      <c r="F337" s="11" t="s">
        <v>122</v>
      </c>
      <c r="G337" s="11" t="s">
        <v>2072</v>
      </c>
      <c r="H337" s="9" t="s">
        <v>153</v>
      </c>
      <c r="I337" s="9" t="s">
        <v>154</v>
      </c>
      <c r="J337" s="9" t="s">
        <v>2073</v>
      </c>
    </row>
    <row r="338" spans="1:10">
      <c r="A338" s="8">
        <v>64856</v>
      </c>
      <c r="B338" s="10" t="s">
        <v>1748</v>
      </c>
      <c r="C338" s="11" t="s">
        <v>1260</v>
      </c>
      <c r="D338" s="11" t="s">
        <v>2922</v>
      </c>
      <c r="E338" s="11">
        <v>878.5</v>
      </c>
      <c r="F338" s="11" t="s">
        <v>113</v>
      </c>
      <c r="G338" s="11" t="s">
        <v>2072</v>
      </c>
      <c r="H338" s="9" t="s">
        <v>392</v>
      </c>
      <c r="I338" s="9" t="s">
        <v>393</v>
      </c>
      <c r="J338" s="9" t="s">
        <v>2144</v>
      </c>
    </row>
    <row r="339" spans="1:10">
      <c r="A339" s="8">
        <v>59802</v>
      </c>
      <c r="B339" s="10" t="s">
        <v>1749</v>
      </c>
      <c r="C339" s="11" t="s">
        <v>662</v>
      </c>
      <c r="D339" s="11" t="s">
        <v>2775</v>
      </c>
      <c r="E339" s="11">
        <v>1835.61</v>
      </c>
      <c r="F339" s="11" t="s">
        <v>475</v>
      </c>
      <c r="G339" s="11" t="s">
        <v>2072</v>
      </c>
      <c r="H339" s="9" t="s">
        <v>115</v>
      </c>
      <c r="I339" s="9" t="s">
        <v>116</v>
      </c>
      <c r="J339" s="9" t="s">
        <v>2073</v>
      </c>
    </row>
    <row r="340" spans="1:10">
      <c r="A340" s="8">
        <v>54216</v>
      </c>
      <c r="B340" s="10" t="s">
        <v>1750</v>
      </c>
      <c r="C340" s="11" t="s">
        <v>663</v>
      </c>
      <c r="D340" s="11" t="s">
        <v>2923</v>
      </c>
      <c r="E340" s="11">
        <v>955.14</v>
      </c>
      <c r="F340" s="11" t="s">
        <v>113</v>
      </c>
      <c r="G340" s="11" t="s">
        <v>2072</v>
      </c>
      <c r="H340" s="9" t="s">
        <v>472</v>
      </c>
      <c r="I340" s="9" t="s">
        <v>473</v>
      </c>
      <c r="J340" s="9" t="s">
        <v>2146</v>
      </c>
    </row>
    <row r="341" spans="1:10">
      <c r="A341" s="8">
        <v>66197</v>
      </c>
      <c r="B341" s="10" t="s">
        <v>1751</v>
      </c>
      <c r="C341" s="11" t="s">
        <v>1311</v>
      </c>
      <c r="D341" s="11" t="s">
        <v>2839</v>
      </c>
      <c r="E341" s="11">
        <v>714.24</v>
      </c>
      <c r="F341" s="11" t="s">
        <v>129</v>
      </c>
      <c r="G341" s="11" t="s">
        <v>2072</v>
      </c>
      <c r="H341" s="9" t="s">
        <v>172</v>
      </c>
      <c r="I341" s="9" t="s">
        <v>173</v>
      </c>
      <c r="J341" s="9" t="s">
        <v>2111</v>
      </c>
    </row>
    <row r="342" spans="1:10">
      <c r="A342" s="8">
        <v>6310</v>
      </c>
      <c r="B342" s="10" t="s">
        <v>1752</v>
      </c>
      <c r="C342" s="11" t="s">
        <v>664</v>
      </c>
      <c r="D342" s="11" t="s">
        <v>2462</v>
      </c>
      <c r="E342" s="11">
        <v>737.88</v>
      </c>
      <c r="F342" s="11" t="s">
        <v>129</v>
      </c>
      <c r="G342" s="11" t="s">
        <v>2072</v>
      </c>
      <c r="H342" s="9" t="s">
        <v>178</v>
      </c>
      <c r="I342" s="9" t="s">
        <v>179</v>
      </c>
      <c r="J342" s="9" t="s">
        <v>2073</v>
      </c>
    </row>
    <row r="343" spans="1:10">
      <c r="A343" s="8">
        <v>46901</v>
      </c>
      <c r="B343" s="10" t="s">
        <v>1753</v>
      </c>
      <c r="C343" s="11" t="s">
        <v>667</v>
      </c>
      <c r="D343" s="11" t="s">
        <v>2623</v>
      </c>
      <c r="E343" s="11">
        <v>955.15</v>
      </c>
      <c r="F343" s="11" t="s">
        <v>113</v>
      </c>
      <c r="G343" s="11" t="s">
        <v>2072</v>
      </c>
      <c r="H343" s="9" t="s">
        <v>115</v>
      </c>
      <c r="I343" s="9" t="s">
        <v>116</v>
      </c>
      <c r="J343" s="9" t="s">
        <v>2073</v>
      </c>
    </row>
    <row r="344" spans="1:10">
      <c r="A344" s="8">
        <v>37517</v>
      </c>
      <c r="B344" s="10" t="s">
        <v>1754</v>
      </c>
      <c r="C344" s="11" t="s">
        <v>668</v>
      </c>
      <c r="D344" s="11" t="s">
        <v>2581</v>
      </c>
      <c r="E344" s="11">
        <v>1835.61</v>
      </c>
      <c r="F344" s="11" t="s">
        <v>475</v>
      </c>
      <c r="G344" s="11" t="s">
        <v>2072</v>
      </c>
      <c r="H344" s="9" t="s">
        <v>115</v>
      </c>
      <c r="I344" s="9" t="s">
        <v>116</v>
      </c>
      <c r="J344" s="9" t="s">
        <v>2073</v>
      </c>
    </row>
    <row r="345" spans="1:10">
      <c r="A345" s="8">
        <v>47882</v>
      </c>
      <c r="B345" s="10" t="s">
        <v>1755</v>
      </c>
      <c r="C345" s="11" t="s">
        <v>669</v>
      </c>
      <c r="D345" s="11" t="s">
        <v>2630</v>
      </c>
      <c r="E345" s="11">
        <v>1093.3699999999999</v>
      </c>
      <c r="F345" s="11" t="s">
        <v>117</v>
      </c>
      <c r="G345" s="11" t="s">
        <v>2072</v>
      </c>
      <c r="H345" s="9" t="s">
        <v>115</v>
      </c>
      <c r="I345" s="9" t="s">
        <v>116</v>
      </c>
      <c r="J345" s="9" t="s">
        <v>2073</v>
      </c>
    </row>
    <row r="346" spans="1:10">
      <c r="A346" s="8">
        <v>56197</v>
      </c>
      <c r="B346" s="10" t="s">
        <v>1443</v>
      </c>
      <c r="C346" s="11" t="s">
        <v>67</v>
      </c>
      <c r="D346" s="11" t="s">
        <v>2413</v>
      </c>
      <c r="E346" s="11">
        <v>2110.38</v>
      </c>
      <c r="F346" s="11" t="s">
        <v>0</v>
      </c>
      <c r="G346" s="11" t="s">
        <v>2072</v>
      </c>
      <c r="H346" s="9" t="s">
        <v>441</v>
      </c>
      <c r="I346" s="9" t="s">
        <v>442</v>
      </c>
      <c r="J346" s="9" t="s">
        <v>2088</v>
      </c>
    </row>
    <row r="347" spans="1:10">
      <c r="A347" s="8">
        <v>1122</v>
      </c>
      <c r="B347" s="10" t="s">
        <v>1756</v>
      </c>
      <c r="C347" s="11" t="s">
        <v>670</v>
      </c>
      <c r="D347" s="11" t="s">
        <v>2442</v>
      </c>
      <c r="E347" s="11">
        <v>955.14</v>
      </c>
      <c r="F347" s="11" t="s">
        <v>113</v>
      </c>
      <c r="G347" s="11" t="s">
        <v>2072</v>
      </c>
      <c r="H347" s="9" t="s">
        <v>234</v>
      </c>
      <c r="I347" s="9" t="s">
        <v>235</v>
      </c>
      <c r="J347" s="9" t="s">
        <v>2073</v>
      </c>
    </row>
    <row r="348" spans="1:10">
      <c r="A348" s="8">
        <v>54099</v>
      </c>
      <c r="B348" s="10" t="s">
        <v>1757</v>
      </c>
      <c r="C348" s="11" t="s">
        <v>671</v>
      </c>
      <c r="D348" s="11" t="s">
        <v>2706</v>
      </c>
      <c r="E348" s="11">
        <v>1835.61</v>
      </c>
      <c r="F348" s="11" t="s">
        <v>475</v>
      </c>
      <c r="G348" s="11" t="s">
        <v>2072</v>
      </c>
      <c r="H348" s="9" t="s">
        <v>115</v>
      </c>
      <c r="I348" s="9" t="s">
        <v>116</v>
      </c>
      <c r="J348" s="9" t="s">
        <v>2073</v>
      </c>
    </row>
    <row r="349" spans="1:10">
      <c r="A349" s="8">
        <v>66208</v>
      </c>
      <c r="B349" s="10" t="s">
        <v>1758</v>
      </c>
      <c r="C349" s="11" t="s">
        <v>1312</v>
      </c>
      <c r="D349" s="11" t="s">
        <v>2844</v>
      </c>
      <c r="E349" s="11">
        <v>714.24</v>
      </c>
      <c r="F349" s="11" t="s">
        <v>122</v>
      </c>
      <c r="G349" s="11" t="s">
        <v>2072</v>
      </c>
      <c r="H349" s="9" t="s">
        <v>357</v>
      </c>
      <c r="I349" s="9" t="s">
        <v>358</v>
      </c>
      <c r="J349" s="9" t="s">
        <v>2126</v>
      </c>
    </row>
    <row r="350" spans="1:10">
      <c r="A350" s="8">
        <v>66294</v>
      </c>
      <c r="B350" s="10" t="s">
        <v>1759</v>
      </c>
      <c r="C350" s="11" t="s">
        <v>1313</v>
      </c>
      <c r="D350" s="11" t="s">
        <v>2422</v>
      </c>
      <c r="E350" s="11">
        <v>822.96</v>
      </c>
      <c r="F350" s="11" t="s">
        <v>133</v>
      </c>
      <c r="G350" s="11" t="s">
        <v>2072</v>
      </c>
      <c r="H350" s="9" t="s">
        <v>146</v>
      </c>
      <c r="I350" s="9" t="s">
        <v>4</v>
      </c>
      <c r="J350" s="9" t="s">
        <v>2073</v>
      </c>
    </row>
    <row r="351" spans="1:10">
      <c r="A351" s="8">
        <v>64056</v>
      </c>
      <c r="B351" s="10" t="s">
        <v>1760</v>
      </c>
      <c r="C351" s="11" t="s">
        <v>1235</v>
      </c>
      <c r="D351" s="11" t="s">
        <v>2816</v>
      </c>
      <c r="E351" s="11">
        <v>878.5</v>
      </c>
      <c r="F351" s="11" t="s">
        <v>113</v>
      </c>
      <c r="G351" s="11" t="s">
        <v>2072</v>
      </c>
      <c r="H351" s="9" t="s">
        <v>450</v>
      </c>
      <c r="I351" s="9" t="s">
        <v>451</v>
      </c>
      <c r="J351" s="9" t="s">
        <v>2130</v>
      </c>
    </row>
    <row r="352" spans="1:10">
      <c r="A352" s="8">
        <v>67376</v>
      </c>
      <c r="B352" s="10" t="s">
        <v>1761</v>
      </c>
      <c r="C352" s="11" t="s">
        <v>1762</v>
      </c>
      <c r="D352" s="11" t="s">
        <v>2765</v>
      </c>
      <c r="E352" s="11">
        <v>737.88</v>
      </c>
      <c r="F352" s="11" t="s">
        <v>515</v>
      </c>
      <c r="G352" s="11" t="s">
        <v>2072</v>
      </c>
      <c r="H352" s="9" t="s">
        <v>146</v>
      </c>
      <c r="I352" s="9" t="s">
        <v>4</v>
      </c>
      <c r="J352" s="9" t="s">
        <v>2073</v>
      </c>
    </row>
    <row r="353" spans="1:10">
      <c r="A353" s="8">
        <v>55410</v>
      </c>
      <c r="B353" s="10" t="s">
        <v>673</v>
      </c>
      <c r="C353" s="11" t="s">
        <v>674</v>
      </c>
      <c r="D353" s="11" t="s">
        <v>2729</v>
      </c>
      <c r="E353" s="11">
        <v>737.88</v>
      </c>
      <c r="F353" s="11" t="s">
        <v>129</v>
      </c>
      <c r="G353" s="11" t="s">
        <v>2072</v>
      </c>
      <c r="H353" s="9" t="s">
        <v>314</v>
      </c>
      <c r="I353" s="9" t="s">
        <v>315</v>
      </c>
      <c r="J353" s="9" t="s">
        <v>2150</v>
      </c>
    </row>
    <row r="354" spans="1:10">
      <c r="A354" s="8">
        <v>29133</v>
      </c>
      <c r="B354" s="10" t="s">
        <v>485</v>
      </c>
      <c r="C354" s="11" t="s">
        <v>675</v>
      </c>
      <c r="D354" s="11" t="s">
        <v>2541</v>
      </c>
      <c r="E354" s="11">
        <v>584.38</v>
      </c>
      <c r="F354" s="11" t="s">
        <v>129</v>
      </c>
      <c r="G354" s="11" t="s">
        <v>2072</v>
      </c>
      <c r="H354" s="9" t="s">
        <v>588</v>
      </c>
      <c r="I354" s="9" t="s">
        <v>589</v>
      </c>
      <c r="J354" s="9" t="s">
        <v>2102</v>
      </c>
    </row>
    <row r="355" spans="1:10">
      <c r="A355" s="8">
        <v>47980</v>
      </c>
      <c r="B355" s="10" t="s">
        <v>1764</v>
      </c>
      <c r="C355" s="11" t="s">
        <v>679</v>
      </c>
      <c r="D355" s="11" t="s">
        <v>2633</v>
      </c>
      <c r="E355" s="11">
        <v>737.88</v>
      </c>
      <c r="F355" s="11" t="s">
        <v>122</v>
      </c>
      <c r="G355" s="11" t="s">
        <v>2072</v>
      </c>
      <c r="H355" s="9" t="s">
        <v>355</v>
      </c>
      <c r="I355" s="9" t="s">
        <v>49</v>
      </c>
      <c r="J355" s="9" t="s">
        <v>2077</v>
      </c>
    </row>
    <row r="356" spans="1:10">
      <c r="A356" s="8">
        <v>52060</v>
      </c>
      <c r="B356" s="10" t="s">
        <v>1765</v>
      </c>
      <c r="C356" s="11" t="s">
        <v>680</v>
      </c>
      <c r="D356" s="11" t="s">
        <v>2525</v>
      </c>
      <c r="E356" s="11">
        <v>1520.05</v>
      </c>
      <c r="F356" s="11" t="s">
        <v>155</v>
      </c>
      <c r="G356" s="11" t="s">
        <v>2072</v>
      </c>
      <c r="H356" s="9" t="s">
        <v>146</v>
      </c>
      <c r="I356" s="9" t="s">
        <v>4</v>
      </c>
      <c r="J356" s="9" t="s">
        <v>2073</v>
      </c>
    </row>
    <row r="357" spans="1:10">
      <c r="A357" s="8">
        <v>64887</v>
      </c>
      <c r="B357" s="10" t="s">
        <v>1766</v>
      </c>
      <c r="C357" s="11" t="s">
        <v>1261</v>
      </c>
      <c r="D357" s="11" t="s">
        <v>2827</v>
      </c>
      <c r="E357" s="11">
        <v>737.88</v>
      </c>
      <c r="F357" s="11" t="s">
        <v>122</v>
      </c>
      <c r="G357" s="11" t="s">
        <v>2072</v>
      </c>
      <c r="H357" s="9" t="s">
        <v>355</v>
      </c>
      <c r="I357" s="9" t="s">
        <v>49</v>
      </c>
      <c r="J357" s="9" t="s">
        <v>2077</v>
      </c>
    </row>
    <row r="358" spans="1:10">
      <c r="A358" s="8">
        <v>56013</v>
      </c>
      <c r="B358" s="10" t="s">
        <v>1444</v>
      </c>
      <c r="C358" s="11" t="s">
        <v>17</v>
      </c>
      <c r="D358" s="11" t="s">
        <v>2413</v>
      </c>
      <c r="E358" s="11">
        <v>2110.38</v>
      </c>
      <c r="F358" s="11" t="s">
        <v>0</v>
      </c>
      <c r="G358" s="11" t="s">
        <v>2072</v>
      </c>
      <c r="H358" s="9" t="s">
        <v>306</v>
      </c>
      <c r="I358" s="9" t="s">
        <v>307</v>
      </c>
      <c r="J358" s="9" t="s">
        <v>2073</v>
      </c>
    </row>
    <row r="359" spans="1:10">
      <c r="A359" s="8">
        <v>38394</v>
      </c>
      <c r="B359" s="10" t="s">
        <v>681</v>
      </c>
      <c r="C359" s="11" t="s">
        <v>682</v>
      </c>
      <c r="D359" s="11" t="s">
        <v>2591</v>
      </c>
      <c r="E359" s="11">
        <v>1835.61</v>
      </c>
      <c r="F359" s="11" t="s">
        <v>475</v>
      </c>
      <c r="G359" s="11" t="s">
        <v>2072</v>
      </c>
      <c r="H359" s="9" t="s">
        <v>248</v>
      </c>
      <c r="I359" s="9" t="s">
        <v>249</v>
      </c>
      <c r="J359" s="9" t="s">
        <v>2073</v>
      </c>
    </row>
    <row r="360" spans="1:10">
      <c r="A360" s="8">
        <v>68044</v>
      </c>
      <c r="B360" s="10" t="s">
        <v>2219</v>
      </c>
      <c r="C360" s="11" t="s">
        <v>2220</v>
      </c>
      <c r="D360" s="11" t="s">
        <v>2856</v>
      </c>
      <c r="E360" s="11">
        <v>878.5</v>
      </c>
      <c r="F360" s="11" t="s">
        <v>113</v>
      </c>
      <c r="G360" s="11" t="s">
        <v>2072</v>
      </c>
      <c r="H360" s="9" t="s">
        <v>1175</v>
      </c>
      <c r="I360" s="9" t="s">
        <v>1176</v>
      </c>
      <c r="J360" s="9" t="s">
        <v>2168</v>
      </c>
    </row>
    <row r="361" spans="1:10">
      <c r="A361" s="8">
        <v>23195</v>
      </c>
      <c r="B361" s="10" t="s">
        <v>683</v>
      </c>
      <c r="C361" s="11" t="s">
        <v>684</v>
      </c>
      <c r="D361" s="11" t="s">
        <v>2524</v>
      </c>
      <c r="E361" s="11">
        <v>584.38</v>
      </c>
      <c r="F361" s="11" t="s">
        <v>129</v>
      </c>
      <c r="G361" s="11" t="s">
        <v>2072</v>
      </c>
      <c r="H361" s="9" t="s">
        <v>685</v>
      </c>
      <c r="I361" s="9" t="s">
        <v>686</v>
      </c>
      <c r="J361" s="9" t="s">
        <v>2092</v>
      </c>
    </row>
    <row r="362" spans="1:10">
      <c r="A362" s="8">
        <v>56136</v>
      </c>
      <c r="B362" s="10" t="s">
        <v>1284</v>
      </c>
      <c r="C362" s="11" t="s">
        <v>78</v>
      </c>
      <c r="D362" s="11" t="s">
        <v>2413</v>
      </c>
      <c r="E362" s="11">
        <v>1927.28</v>
      </c>
      <c r="F362" s="11" t="s">
        <v>0</v>
      </c>
      <c r="G362" s="11" t="s">
        <v>2072</v>
      </c>
      <c r="H362" s="9" t="s">
        <v>687</v>
      </c>
      <c r="I362" s="9" t="s">
        <v>688</v>
      </c>
      <c r="J362" s="9" t="s">
        <v>2142</v>
      </c>
    </row>
    <row r="363" spans="1:10">
      <c r="A363" s="8">
        <v>3783</v>
      </c>
      <c r="B363" s="10" t="s">
        <v>1767</v>
      </c>
      <c r="C363" s="11" t="s">
        <v>689</v>
      </c>
      <c r="D363" s="11" t="s">
        <v>2450</v>
      </c>
      <c r="E363" s="11">
        <v>822.96</v>
      </c>
      <c r="F363" s="11" t="s">
        <v>133</v>
      </c>
      <c r="G363" s="11" t="s">
        <v>2072</v>
      </c>
      <c r="H363" s="9" t="s">
        <v>366</v>
      </c>
      <c r="I363" s="9" t="s">
        <v>367</v>
      </c>
      <c r="J363" s="9" t="s">
        <v>2073</v>
      </c>
    </row>
    <row r="364" spans="1:10">
      <c r="A364" s="8">
        <v>58370</v>
      </c>
      <c r="B364" s="10" t="s">
        <v>1768</v>
      </c>
      <c r="C364" s="11" t="s">
        <v>690</v>
      </c>
      <c r="D364" s="11" t="s">
        <v>2759</v>
      </c>
      <c r="E364" s="11">
        <v>737.88</v>
      </c>
      <c r="F364" s="11" t="s">
        <v>122</v>
      </c>
      <c r="G364" s="11" t="s">
        <v>2072</v>
      </c>
      <c r="H364" s="9" t="s">
        <v>153</v>
      </c>
      <c r="I364" s="9" t="s">
        <v>154</v>
      </c>
      <c r="J364" s="9" t="s">
        <v>2073</v>
      </c>
    </row>
    <row r="365" spans="1:10">
      <c r="A365" s="8">
        <v>68777</v>
      </c>
      <c r="B365" s="10" t="s">
        <v>2337</v>
      </c>
      <c r="C365" s="11" t="s">
        <v>2338</v>
      </c>
      <c r="D365" s="11" t="s">
        <v>2452</v>
      </c>
      <c r="E365" s="11">
        <v>714.24</v>
      </c>
      <c r="F365" s="11" t="s">
        <v>122</v>
      </c>
      <c r="G365" s="11" t="s">
        <v>2112</v>
      </c>
      <c r="H365" s="9" t="s">
        <v>551</v>
      </c>
      <c r="I365" s="9" t="s">
        <v>552</v>
      </c>
      <c r="J365" s="9" t="s">
        <v>2117</v>
      </c>
    </row>
    <row r="366" spans="1:10">
      <c r="A366" s="8">
        <v>49482</v>
      </c>
      <c r="B366" s="10" t="s">
        <v>617</v>
      </c>
      <c r="C366" s="11" t="s">
        <v>691</v>
      </c>
      <c r="D366" s="11" t="s">
        <v>2924</v>
      </c>
      <c r="E366" s="11">
        <v>178.59</v>
      </c>
      <c r="F366" s="11" t="s">
        <v>129</v>
      </c>
      <c r="G366" s="11" t="s">
        <v>2072</v>
      </c>
      <c r="H366" s="9" t="s">
        <v>615</v>
      </c>
      <c r="I366" s="9" t="s">
        <v>616</v>
      </c>
      <c r="J366" s="9" t="s">
        <v>2132</v>
      </c>
    </row>
    <row r="367" spans="1:10">
      <c r="A367" s="8">
        <v>55019</v>
      </c>
      <c r="B367" s="10" t="s">
        <v>1769</v>
      </c>
      <c r="C367" s="11" t="s">
        <v>692</v>
      </c>
      <c r="D367" s="11" t="s">
        <v>2925</v>
      </c>
      <c r="E367" s="11">
        <v>955.14</v>
      </c>
      <c r="F367" s="11" t="s">
        <v>113</v>
      </c>
      <c r="G367" s="11" t="s">
        <v>2072</v>
      </c>
      <c r="H367" s="9" t="s">
        <v>270</v>
      </c>
      <c r="I367" s="9" t="s">
        <v>70</v>
      </c>
      <c r="J367" s="9" t="s">
        <v>2084</v>
      </c>
    </row>
    <row r="368" spans="1:10">
      <c r="A368" s="8">
        <v>62631</v>
      </c>
      <c r="B368" s="10" t="s">
        <v>1770</v>
      </c>
      <c r="C368" s="11" t="s">
        <v>1198</v>
      </c>
      <c r="D368" s="11" t="s">
        <v>2807</v>
      </c>
      <c r="E368" s="11">
        <v>737.88</v>
      </c>
      <c r="F368" s="11" t="s">
        <v>122</v>
      </c>
      <c r="G368" s="11" t="s">
        <v>2072</v>
      </c>
      <c r="H368" s="9" t="s">
        <v>212</v>
      </c>
      <c r="I368" s="9" t="s">
        <v>213</v>
      </c>
      <c r="J368" s="9" t="s">
        <v>2073</v>
      </c>
    </row>
    <row r="369" spans="1:10">
      <c r="A369" s="8">
        <v>46904</v>
      </c>
      <c r="B369" s="10" t="s">
        <v>1771</v>
      </c>
      <c r="C369" s="11" t="s">
        <v>694</v>
      </c>
      <c r="D369" s="11" t="s">
        <v>2624</v>
      </c>
      <c r="E369" s="11">
        <v>955.15</v>
      </c>
      <c r="F369" s="11" t="s">
        <v>113</v>
      </c>
      <c r="G369" s="11" t="s">
        <v>2072</v>
      </c>
      <c r="H369" s="9" t="s">
        <v>115</v>
      </c>
      <c r="I369" s="9" t="s">
        <v>116</v>
      </c>
      <c r="J369" s="9" t="s">
        <v>2073</v>
      </c>
    </row>
    <row r="370" spans="1:10">
      <c r="A370" s="8">
        <v>68142</v>
      </c>
      <c r="B370" s="10" t="s">
        <v>2270</v>
      </c>
      <c r="C370" s="11" t="s">
        <v>2271</v>
      </c>
      <c r="D370" s="11" t="s">
        <v>2869</v>
      </c>
      <c r="E370" s="11">
        <v>714.24</v>
      </c>
      <c r="F370" s="11" t="s">
        <v>122</v>
      </c>
      <c r="G370" s="11" t="s">
        <v>2072</v>
      </c>
      <c r="H370" s="9" t="s">
        <v>547</v>
      </c>
      <c r="I370" s="9" t="s">
        <v>548</v>
      </c>
      <c r="J370" s="9" t="s">
        <v>2141</v>
      </c>
    </row>
    <row r="371" spans="1:10">
      <c r="A371" s="8">
        <v>65675</v>
      </c>
      <c r="B371" s="10" t="s">
        <v>1772</v>
      </c>
      <c r="C371" s="11" t="s">
        <v>1288</v>
      </c>
      <c r="D371" s="11" t="s">
        <v>2835</v>
      </c>
      <c r="E371" s="11">
        <v>737.88</v>
      </c>
      <c r="F371" s="11" t="s">
        <v>122</v>
      </c>
      <c r="G371" s="11" t="s">
        <v>2072</v>
      </c>
      <c r="H371" s="9" t="s">
        <v>248</v>
      </c>
      <c r="I371" s="9" t="s">
        <v>249</v>
      </c>
      <c r="J371" s="9" t="s">
        <v>2073</v>
      </c>
    </row>
    <row r="372" spans="1:10">
      <c r="A372" s="8">
        <v>42870</v>
      </c>
      <c r="B372" s="10" t="s">
        <v>1773</v>
      </c>
      <c r="C372" s="11" t="s">
        <v>697</v>
      </c>
      <c r="D372" s="11" t="s">
        <v>2605</v>
      </c>
      <c r="E372" s="11">
        <v>1520.04</v>
      </c>
      <c r="F372" s="11" t="s">
        <v>155</v>
      </c>
      <c r="G372" s="11" t="s">
        <v>2072</v>
      </c>
      <c r="H372" s="9" t="s">
        <v>115</v>
      </c>
      <c r="I372" s="9" t="s">
        <v>116</v>
      </c>
      <c r="J372" s="9" t="s">
        <v>2073</v>
      </c>
    </row>
    <row r="373" spans="1:10">
      <c r="A373" s="8">
        <v>9470</v>
      </c>
      <c r="B373" s="10" t="s">
        <v>1774</v>
      </c>
      <c r="C373" s="11" t="s">
        <v>698</v>
      </c>
      <c r="D373" s="11" t="s">
        <v>2482</v>
      </c>
      <c r="E373" s="11">
        <v>1520.04</v>
      </c>
      <c r="F373" s="11" t="s">
        <v>155</v>
      </c>
      <c r="G373" s="11" t="s">
        <v>2072</v>
      </c>
      <c r="H373" s="9" t="s">
        <v>115</v>
      </c>
      <c r="I373" s="9" t="s">
        <v>116</v>
      </c>
      <c r="J373" s="9" t="s">
        <v>2073</v>
      </c>
    </row>
    <row r="374" spans="1:10">
      <c r="A374" s="8">
        <v>65527</v>
      </c>
      <c r="B374" s="10" t="s">
        <v>1775</v>
      </c>
      <c r="C374" s="11" t="s">
        <v>1289</v>
      </c>
      <c r="D374" s="11" t="s">
        <v>2785</v>
      </c>
      <c r="E374" s="11">
        <v>737.88</v>
      </c>
      <c r="F374" s="11" t="s">
        <v>129</v>
      </c>
      <c r="G374" s="11" t="s">
        <v>2072</v>
      </c>
      <c r="H374" s="9" t="s">
        <v>131</v>
      </c>
      <c r="I374" s="9" t="s">
        <v>132</v>
      </c>
      <c r="J374" s="9" t="s">
        <v>2073</v>
      </c>
    </row>
    <row r="375" spans="1:10">
      <c r="A375" s="8">
        <v>28980</v>
      </c>
      <c r="B375" s="10" t="s">
        <v>699</v>
      </c>
      <c r="C375" s="11" t="s">
        <v>700</v>
      </c>
      <c r="D375" s="11" t="s">
        <v>2543</v>
      </c>
      <c r="E375" s="11">
        <v>822.96</v>
      </c>
      <c r="F375" s="11" t="s">
        <v>133</v>
      </c>
      <c r="G375" s="11" t="s">
        <v>2072</v>
      </c>
      <c r="H375" s="9" t="s">
        <v>178</v>
      </c>
      <c r="I375" s="9" t="s">
        <v>179</v>
      </c>
      <c r="J375" s="9" t="s">
        <v>2073</v>
      </c>
    </row>
    <row r="376" spans="1:10">
      <c r="A376" s="8">
        <v>62858</v>
      </c>
      <c r="B376" s="10" t="s">
        <v>1776</v>
      </c>
      <c r="C376" s="11" t="s">
        <v>1201</v>
      </c>
      <c r="D376" s="11" t="s">
        <v>2791</v>
      </c>
      <c r="E376" s="11">
        <v>178.57</v>
      </c>
      <c r="F376" s="11" t="s">
        <v>129</v>
      </c>
      <c r="G376" s="11" t="s">
        <v>2072</v>
      </c>
      <c r="H376" s="9" t="s">
        <v>1202</v>
      </c>
      <c r="I376" s="9" t="s">
        <v>1203</v>
      </c>
      <c r="J376" s="9" t="s">
        <v>2169</v>
      </c>
    </row>
    <row r="377" spans="1:10">
      <c r="A377" s="8">
        <v>46922</v>
      </c>
      <c r="B377" s="10" t="s">
        <v>1777</v>
      </c>
      <c r="C377" s="11" t="s">
        <v>701</v>
      </c>
      <c r="D377" s="11" t="s">
        <v>2624</v>
      </c>
      <c r="E377" s="11">
        <v>1520.04</v>
      </c>
      <c r="F377" s="11" t="s">
        <v>155</v>
      </c>
      <c r="G377" s="11" t="s">
        <v>2072</v>
      </c>
      <c r="H377" s="9" t="s">
        <v>115</v>
      </c>
      <c r="I377" s="9" t="s">
        <v>116</v>
      </c>
      <c r="J377" s="9" t="s">
        <v>2073</v>
      </c>
    </row>
    <row r="378" spans="1:10">
      <c r="A378" s="8">
        <v>56135</v>
      </c>
      <c r="B378" s="10" t="s">
        <v>1448</v>
      </c>
      <c r="C378" s="11" t="s">
        <v>75</v>
      </c>
      <c r="D378" s="11" t="s">
        <v>2413</v>
      </c>
      <c r="E378" s="11">
        <v>2110.38</v>
      </c>
      <c r="F378" s="11" t="s">
        <v>0</v>
      </c>
      <c r="G378" s="11" t="s">
        <v>2072</v>
      </c>
      <c r="H378" s="9" t="s">
        <v>421</v>
      </c>
      <c r="I378" s="9" t="s">
        <v>422</v>
      </c>
      <c r="J378" s="9" t="s">
        <v>2086</v>
      </c>
    </row>
    <row r="379" spans="1:10">
      <c r="A379" s="8">
        <v>20536</v>
      </c>
      <c r="B379" s="10" t="s">
        <v>1778</v>
      </c>
      <c r="C379" s="11" t="s">
        <v>703</v>
      </c>
      <c r="D379" s="11" t="s">
        <v>2511</v>
      </c>
      <c r="E379" s="11">
        <v>1520.04</v>
      </c>
      <c r="F379" s="11" t="s">
        <v>155</v>
      </c>
      <c r="G379" s="11" t="s">
        <v>2072</v>
      </c>
      <c r="H379" s="9" t="s">
        <v>178</v>
      </c>
      <c r="I379" s="9" t="s">
        <v>179</v>
      </c>
      <c r="J379" s="9" t="s">
        <v>2073</v>
      </c>
    </row>
    <row r="380" spans="1:10">
      <c r="A380" s="8">
        <v>39161</v>
      </c>
      <c r="B380" s="10" t="s">
        <v>1779</v>
      </c>
      <c r="C380" s="11" t="s">
        <v>704</v>
      </c>
      <c r="D380" s="11" t="s">
        <v>2593</v>
      </c>
      <c r="E380" s="11">
        <v>1243.71</v>
      </c>
      <c r="F380" s="11" t="s">
        <v>155</v>
      </c>
      <c r="G380" s="11" t="s">
        <v>2072</v>
      </c>
      <c r="H380" s="9" t="s">
        <v>234</v>
      </c>
      <c r="I380" s="9" t="s">
        <v>235</v>
      </c>
      <c r="J380" s="9" t="s">
        <v>2073</v>
      </c>
    </row>
    <row r="381" spans="1:10">
      <c r="A381" s="8">
        <v>58561</v>
      </c>
      <c r="B381" s="10" t="s">
        <v>1780</v>
      </c>
      <c r="C381" s="11" t="s">
        <v>705</v>
      </c>
      <c r="D381" s="11" t="s">
        <v>2761</v>
      </c>
      <c r="E381" s="11">
        <v>737.88</v>
      </c>
      <c r="F381" s="11" t="s">
        <v>122</v>
      </c>
      <c r="G381" s="11" t="s">
        <v>2072</v>
      </c>
      <c r="H381" s="9" t="s">
        <v>214</v>
      </c>
      <c r="I381" s="9" t="s">
        <v>215</v>
      </c>
      <c r="J381" s="9" t="s">
        <v>2073</v>
      </c>
    </row>
    <row r="382" spans="1:10">
      <c r="A382" s="8">
        <v>64363</v>
      </c>
      <c r="B382" s="10" t="s">
        <v>1781</v>
      </c>
      <c r="C382" s="11" t="s">
        <v>1262</v>
      </c>
      <c r="D382" s="11" t="s">
        <v>2420</v>
      </c>
      <c r="E382" s="11">
        <v>2110.38</v>
      </c>
      <c r="F382" s="11" t="s">
        <v>0</v>
      </c>
      <c r="G382" s="11" t="s">
        <v>2072</v>
      </c>
      <c r="H382" s="9" t="s">
        <v>153</v>
      </c>
      <c r="I382" s="9" t="s">
        <v>154</v>
      </c>
      <c r="J382" s="9" t="s">
        <v>2073</v>
      </c>
    </row>
    <row r="383" spans="1:10">
      <c r="A383" s="8">
        <v>37550</v>
      </c>
      <c r="B383" s="10" t="s">
        <v>706</v>
      </c>
      <c r="C383" s="11" t="s">
        <v>707</v>
      </c>
      <c r="D383" s="11" t="s">
        <v>2585</v>
      </c>
      <c r="E383" s="11">
        <v>878.5</v>
      </c>
      <c r="F383" s="11" t="s">
        <v>113</v>
      </c>
      <c r="G383" s="11" t="s">
        <v>2072</v>
      </c>
      <c r="H383" s="9" t="s">
        <v>181</v>
      </c>
      <c r="I383" s="9" t="s">
        <v>182</v>
      </c>
      <c r="J383" s="9" t="s">
        <v>2109</v>
      </c>
    </row>
    <row r="384" spans="1:10">
      <c r="A384" s="8">
        <v>58847</v>
      </c>
      <c r="B384" s="10" t="s">
        <v>1782</v>
      </c>
      <c r="C384" s="11" t="s">
        <v>709</v>
      </c>
      <c r="D384" s="11" t="s">
        <v>2926</v>
      </c>
      <c r="E384" s="11">
        <v>1520.02</v>
      </c>
      <c r="F384" s="11" t="s">
        <v>155</v>
      </c>
      <c r="G384" s="11" t="s">
        <v>2072</v>
      </c>
      <c r="H384" s="9" t="s">
        <v>710</v>
      </c>
      <c r="I384" s="9" t="s">
        <v>72</v>
      </c>
      <c r="J384" s="9" t="s">
        <v>2082</v>
      </c>
    </row>
    <row r="385" spans="1:10">
      <c r="A385" s="8">
        <v>50839</v>
      </c>
      <c r="B385" s="10" t="s">
        <v>712</v>
      </c>
      <c r="C385" s="11" t="s">
        <v>711</v>
      </c>
      <c r="D385" s="11" t="s">
        <v>2661</v>
      </c>
      <c r="E385" s="11">
        <v>714.24</v>
      </c>
      <c r="F385" s="11" t="s">
        <v>129</v>
      </c>
      <c r="G385" s="11" t="s">
        <v>2072</v>
      </c>
      <c r="H385" s="9" t="s">
        <v>230</v>
      </c>
      <c r="I385" s="9" t="s">
        <v>82</v>
      </c>
      <c r="J385" s="9" t="s">
        <v>2137</v>
      </c>
    </row>
    <row r="386" spans="1:10">
      <c r="A386" s="8">
        <v>66967</v>
      </c>
      <c r="B386" s="10" t="s">
        <v>1783</v>
      </c>
      <c r="C386" s="11" t="s">
        <v>1784</v>
      </c>
      <c r="D386" s="11" t="s">
        <v>2850</v>
      </c>
      <c r="E386" s="11">
        <v>178.57</v>
      </c>
      <c r="F386" s="11" t="s">
        <v>129</v>
      </c>
      <c r="G386" s="11" t="s">
        <v>2072</v>
      </c>
      <c r="H386" s="9" t="s">
        <v>1785</v>
      </c>
      <c r="I386" s="9" t="s">
        <v>1786</v>
      </c>
      <c r="J386" s="9" t="s">
        <v>2177</v>
      </c>
    </row>
    <row r="387" spans="1:10">
      <c r="A387" s="8">
        <v>52403</v>
      </c>
      <c r="B387" s="10" t="s">
        <v>1787</v>
      </c>
      <c r="C387" s="11" t="s">
        <v>713</v>
      </c>
      <c r="D387" s="11" t="s">
        <v>2682</v>
      </c>
      <c r="E387" s="11">
        <v>737.88</v>
      </c>
      <c r="F387" s="11" t="s">
        <v>122</v>
      </c>
      <c r="G387" s="11" t="s">
        <v>2072</v>
      </c>
      <c r="H387" s="9" t="s">
        <v>212</v>
      </c>
      <c r="I387" s="9" t="s">
        <v>213</v>
      </c>
      <c r="J387" s="9" t="s">
        <v>2073</v>
      </c>
    </row>
    <row r="388" spans="1:10">
      <c r="A388" s="8">
        <v>56199</v>
      </c>
      <c r="B388" s="10" t="s">
        <v>1449</v>
      </c>
      <c r="C388" s="11" t="s">
        <v>85</v>
      </c>
      <c r="D388" s="11" t="s">
        <v>2413</v>
      </c>
      <c r="E388" s="11">
        <v>2110.38</v>
      </c>
      <c r="F388" s="11" t="s">
        <v>0</v>
      </c>
      <c r="G388" s="11" t="s">
        <v>2072</v>
      </c>
      <c r="H388" s="9" t="s">
        <v>189</v>
      </c>
      <c r="I388" s="9" t="s">
        <v>190</v>
      </c>
      <c r="J388" s="9" t="s">
        <v>2104</v>
      </c>
    </row>
    <row r="389" spans="1:10">
      <c r="A389" s="8">
        <v>37573</v>
      </c>
      <c r="B389" s="10" t="s">
        <v>1788</v>
      </c>
      <c r="C389" s="11" t="s">
        <v>714</v>
      </c>
      <c r="D389" s="11" t="s">
        <v>2581</v>
      </c>
      <c r="E389" s="11">
        <v>1835.61</v>
      </c>
      <c r="F389" s="11" t="s">
        <v>475</v>
      </c>
      <c r="G389" s="11" t="s">
        <v>2072</v>
      </c>
      <c r="H389" s="9" t="s">
        <v>131</v>
      </c>
      <c r="I389" s="9" t="s">
        <v>132</v>
      </c>
      <c r="J389" s="9" t="s">
        <v>2073</v>
      </c>
    </row>
    <row r="390" spans="1:10">
      <c r="A390" s="8">
        <v>66048</v>
      </c>
      <c r="B390" s="10" t="s">
        <v>1789</v>
      </c>
      <c r="C390" s="11" t="s">
        <v>1314</v>
      </c>
      <c r="D390" s="11" t="s">
        <v>2840</v>
      </c>
      <c r="E390" s="11">
        <v>1093.3699999999999</v>
      </c>
      <c r="F390" s="11" t="s">
        <v>117</v>
      </c>
      <c r="G390" s="11" t="s">
        <v>2072</v>
      </c>
      <c r="H390" s="9" t="s">
        <v>146</v>
      </c>
      <c r="I390" s="9" t="s">
        <v>4</v>
      </c>
      <c r="J390" s="9" t="s">
        <v>2073</v>
      </c>
    </row>
    <row r="391" spans="1:10">
      <c r="A391" s="8">
        <v>68335</v>
      </c>
      <c r="B391" s="10" t="s">
        <v>2339</v>
      </c>
      <c r="C391" s="11" t="s">
        <v>2340</v>
      </c>
      <c r="D391" s="11" t="s">
        <v>2875</v>
      </c>
      <c r="E391" s="11">
        <v>737.88</v>
      </c>
      <c r="F391" s="11" t="s">
        <v>122</v>
      </c>
      <c r="G391" s="11" t="s">
        <v>2072</v>
      </c>
      <c r="H391" s="9" t="s">
        <v>366</v>
      </c>
      <c r="I391" s="9" t="s">
        <v>367</v>
      </c>
      <c r="J391" s="9" t="s">
        <v>2073</v>
      </c>
    </row>
    <row r="392" spans="1:10">
      <c r="A392" s="8">
        <v>4093</v>
      </c>
      <c r="B392" s="10" t="s">
        <v>1790</v>
      </c>
      <c r="C392" s="11" t="s">
        <v>715</v>
      </c>
      <c r="D392" s="11" t="s">
        <v>2451</v>
      </c>
      <c r="E392" s="11">
        <v>737.88</v>
      </c>
      <c r="F392" s="11" t="s">
        <v>122</v>
      </c>
      <c r="G392" s="11" t="s">
        <v>2072</v>
      </c>
      <c r="H392" s="9" t="s">
        <v>482</v>
      </c>
      <c r="I392" s="9" t="s">
        <v>483</v>
      </c>
      <c r="J392" s="9" t="s">
        <v>2073</v>
      </c>
    </row>
    <row r="393" spans="1:10">
      <c r="A393" s="8">
        <v>65933</v>
      </c>
      <c r="B393" s="10" t="s">
        <v>1791</v>
      </c>
      <c r="C393" s="11" t="s">
        <v>1315</v>
      </c>
      <c r="D393" s="11" t="s">
        <v>2839</v>
      </c>
      <c r="E393" s="11">
        <v>737.88</v>
      </c>
      <c r="F393" s="11" t="s">
        <v>129</v>
      </c>
      <c r="G393" s="11" t="s">
        <v>2072</v>
      </c>
      <c r="H393" s="9" t="s">
        <v>153</v>
      </c>
      <c r="I393" s="9" t="s">
        <v>154</v>
      </c>
      <c r="J393" s="9" t="s">
        <v>2073</v>
      </c>
    </row>
    <row r="394" spans="1:10">
      <c r="A394" s="8">
        <v>10784</v>
      </c>
      <c r="B394" s="10" t="s">
        <v>1792</v>
      </c>
      <c r="C394" s="11" t="s">
        <v>716</v>
      </c>
      <c r="D394" s="11" t="s">
        <v>2487</v>
      </c>
      <c r="E394" s="11">
        <v>1228.51</v>
      </c>
      <c r="F394" s="11" t="s">
        <v>308</v>
      </c>
      <c r="G394" s="11" t="s">
        <v>2072</v>
      </c>
      <c r="H394" s="9" t="s">
        <v>115</v>
      </c>
      <c r="I394" s="9" t="s">
        <v>116</v>
      </c>
      <c r="J394" s="9" t="s">
        <v>2073</v>
      </c>
    </row>
    <row r="395" spans="1:10">
      <c r="A395" s="8">
        <v>55685</v>
      </c>
      <c r="B395" s="10" t="s">
        <v>1793</v>
      </c>
      <c r="C395" s="11" t="s">
        <v>717</v>
      </c>
      <c r="D395" s="11" t="s">
        <v>2454</v>
      </c>
      <c r="E395" s="11">
        <v>737.88</v>
      </c>
      <c r="F395" s="11" t="s">
        <v>231</v>
      </c>
      <c r="G395" s="11" t="s">
        <v>2112</v>
      </c>
      <c r="H395" s="9" t="s">
        <v>146</v>
      </c>
      <c r="I395" s="9" t="s">
        <v>4</v>
      </c>
      <c r="J395" s="9" t="s">
        <v>2073</v>
      </c>
    </row>
    <row r="396" spans="1:10">
      <c r="A396" s="8">
        <v>4148</v>
      </c>
      <c r="B396" s="10" t="s">
        <v>1794</v>
      </c>
      <c r="C396" s="11" t="s">
        <v>718</v>
      </c>
      <c r="D396" s="11" t="s">
        <v>2451</v>
      </c>
      <c r="E396" s="11">
        <v>955.15</v>
      </c>
      <c r="F396" s="11" t="s">
        <v>113</v>
      </c>
      <c r="G396" s="11" t="s">
        <v>2072</v>
      </c>
      <c r="H396" s="9" t="s">
        <v>331</v>
      </c>
      <c r="I396" s="9" t="s">
        <v>332</v>
      </c>
      <c r="J396" s="9" t="s">
        <v>2073</v>
      </c>
    </row>
    <row r="397" spans="1:10">
      <c r="A397" s="8">
        <v>68767</v>
      </c>
      <c r="B397" s="10" t="s">
        <v>2341</v>
      </c>
      <c r="C397" s="11" t="s">
        <v>2342</v>
      </c>
      <c r="D397" s="11" t="s">
        <v>2452</v>
      </c>
      <c r="E397" s="11">
        <v>878.5</v>
      </c>
      <c r="F397" s="11" t="s">
        <v>113</v>
      </c>
      <c r="G397" s="11" t="s">
        <v>2072</v>
      </c>
      <c r="H397" s="9" t="s">
        <v>172</v>
      </c>
      <c r="I397" s="9" t="s">
        <v>173</v>
      </c>
      <c r="J397" s="9" t="s">
        <v>2111</v>
      </c>
    </row>
    <row r="398" spans="1:10">
      <c r="A398" s="8">
        <v>59507</v>
      </c>
      <c r="B398" s="10" t="s">
        <v>1795</v>
      </c>
      <c r="C398" s="11" t="s">
        <v>719</v>
      </c>
      <c r="D398" s="11" t="s">
        <v>2772</v>
      </c>
      <c r="E398" s="11">
        <v>955.14</v>
      </c>
      <c r="F398" s="11" t="s">
        <v>113</v>
      </c>
      <c r="G398" s="11" t="s">
        <v>2072</v>
      </c>
      <c r="H398" s="9" t="s">
        <v>396</v>
      </c>
      <c r="I398" s="9" t="s">
        <v>397</v>
      </c>
      <c r="J398" s="9" t="s">
        <v>2165</v>
      </c>
    </row>
    <row r="399" spans="1:10">
      <c r="A399" s="8">
        <v>53572</v>
      </c>
      <c r="B399" s="10" t="s">
        <v>720</v>
      </c>
      <c r="C399" s="11" t="s">
        <v>721</v>
      </c>
      <c r="D399" s="11" t="s">
        <v>2700</v>
      </c>
      <c r="E399" s="11">
        <v>955.14</v>
      </c>
      <c r="F399" s="11" t="s">
        <v>113</v>
      </c>
      <c r="G399" s="11" t="s">
        <v>2074</v>
      </c>
      <c r="H399" s="9" t="s">
        <v>331</v>
      </c>
      <c r="I399" s="9" t="s">
        <v>332</v>
      </c>
      <c r="J399" s="9" t="s">
        <v>2073</v>
      </c>
    </row>
    <row r="400" spans="1:10">
      <c r="A400" s="8">
        <v>66397</v>
      </c>
      <c r="B400" s="10" t="s">
        <v>1450</v>
      </c>
      <c r="C400" s="11" t="s">
        <v>1326</v>
      </c>
      <c r="D400" s="11" t="s">
        <v>2419</v>
      </c>
      <c r="E400" s="11">
        <v>2110.38</v>
      </c>
      <c r="F400" s="11" t="s">
        <v>0</v>
      </c>
      <c r="G400" s="11" t="s">
        <v>2072</v>
      </c>
      <c r="H400" s="9" t="s">
        <v>306</v>
      </c>
      <c r="I400" s="9" t="s">
        <v>307</v>
      </c>
      <c r="J400" s="9" t="s">
        <v>2073</v>
      </c>
    </row>
    <row r="401" spans="1:10">
      <c r="A401" s="8">
        <v>29979</v>
      </c>
      <c r="B401" s="10" t="s">
        <v>1796</v>
      </c>
      <c r="C401" s="11" t="s">
        <v>722</v>
      </c>
      <c r="D401" s="11" t="s">
        <v>2548</v>
      </c>
      <c r="E401" s="11">
        <v>1228.51</v>
      </c>
      <c r="F401" s="11" t="s">
        <v>139</v>
      </c>
      <c r="G401" s="11" t="s">
        <v>2072</v>
      </c>
      <c r="H401" s="9" t="s">
        <v>115</v>
      </c>
      <c r="I401" s="9" t="s">
        <v>116</v>
      </c>
      <c r="J401" s="9" t="s">
        <v>2073</v>
      </c>
    </row>
    <row r="402" spans="1:10">
      <c r="A402" s="8">
        <v>46977</v>
      </c>
      <c r="B402" s="10" t="s">
        <v>1797</v>
      </c>
      <c r="C402" s="11" t="s">
        <v>723</v>
      </c>
      <c r="D402" s="11" t="s">
        <v>2625</v>
      </c>
      <c r="E402" s="11">
        <v>1520.04</v>
      </c>
      <c r="F402" s="11" t="s">
        <v>155</v>
      </c>
      <c r="G402" s="11" t="s">
        <v>2072</v>
      </c>
      <c r="H402" s="9" t="s">
        <v>212</v>
      </c>
      <c r="I402" s="9" t="s">
        <v>213</v>
      </c>
      <c r="J402" s="9" t="s">
        <v>2073</v>
      </c>
    </row>
    <row r="403" spans="1:10">
      <c r="A403" s="8">
        <v>10365</v>
      </c>
      <c r="B403" s="10" t="s">
        <v>1798</v>
      </c>
      <c r="C403" s="11" t="s">
        <v>724</v>
      </c>
      <c r="D403" s="11" t="s">
        <v>2485</v>
      </c>
      <c r="E403" s="11">
        <v>1228.51</v>
      </c>
      <c r="F403" s="11" t="s">
        <v>139</v>
      </c>
      <c r="G403" s="11" t="s">
        <v>2072</v>
      </c>
      <c r="H403" s="9" t="s">
        <v>115</v>
      </c>
      <c r="I403" s="9" t="s">
        <v>116</v>
      </c>
      <c r="J403" s="9" t="s">
        <v>2073</v>
      </c>
    </row>
    <row r="404" spans="1:10">
      <c r="A404" s="8">
        <v>58497</v>
      </c>
      <c r="B404" s="10" t="s">
        <v>1799</v>
      </c>
      <c r="C404" s="11" t="s">
        <v>725</v>
      </c>
      <c r="D404" s="11" t="s">
        <v>2760</v>
      </c>
      <c r="E404" s="11">
        <v>878.5</v>
      </c>
      <c r="F404" s="11" t="s">
        <v>113</v>
      </c>
      <c r="G404" s="11" t="s">
        <v>2072</v>
      </c>
      <c r="H404" s="9" t="s">
        <v>339</v>
      </c>
      <c r="I404" s="9" t="s">
        <v>337</v>
      </c>
      <c r="J404" s="9" t="s">
        <v>2105</v>
      </c>
    </row>
    <row r="405" spans="1:10">
      <c r="A405" s="8">
        <v>60155</v>
      </c>
      <c r="B405" s="10" t="s">
        <v>1800</v>
      </c>
      <c r="C405" s="11" t="s">
        <v>726</v>
      </c>
      <c r="D405" s="11" t="s">
        <v>2781</v>
      </c>
      <c r="E405" s="11">
        <v>737.88</v>
      </c>
      <c r="F405" s="11" t="s">
        <v>231</v>
      </c>
      <c r="G405" s="11" t="s">
        <v>2072</v>
      </c>
      <c r="H405" s="9" t="s">
        <v>146</v>
      </c>
      <c r="I405" s="9" t="s">
        <v>4</v>
      </c>
      <c r="J405" s="9" t="s">
        <v>2073</v>
      </c>
    </row>
    <row r="406" spans="1:10">
      <c r="A406" s="8">
        <v>37503</v>
      </c>
      <c r="B406" s="10" t="s">
        <v>584</v>
      </c>
      <c r="C406" s="11" t="s">
        <v>727</v>
      </c>
      <c r="D406" s="11" t="s">
        <v>2582</v>
      </c>
      <c r="E406" s="11">
        <v>737.88</v>
      </c>
      <c r="F406" s="11" t="s">
        <v>122</v>
      </c>
      <c r="G406" s="11" t="s">
        <v>2072</v>
      </c>
      <c r="H406" s="9" t="s">
        <v>212</v>
      </c>
      <c r="I406" s="9" t="s">
        <v>213</v>
      </c>
      <c r="J406" s="9" t="s">
        <v>2073</v>
      </c>
    </row>
    <row r="407" spans="1:10">
      <c r="A407" s="8">
        <v>56647</v>
      </c>
      <c r="B407" s="10" t="s">
        <v>1801</v>
      </c>
      <c r="C407" s="11" t="s">
        <v>728</v>
      </c>
      <c r="D407" s="11" t="s">
        <v>2738</v>
      </c>
      <c r="E407" s="11">
        <v>737.88</v>
      </c>
      <c r="F407" s="11" t="s">
        <v>122</v>
      </c>
      <c r="G407" s="11" t="s">
        <v>2074</v>
      </c>
      <c r="H407" s="9" t="s">
        <v>131</v>
      </c>
      <c r="I407" s="9" t="s">
        <v>132</v>
      </c>
      <c r="J407" s="9" t="s">
        <v>2073</v>
      </c>
    </row>
    <row r="408" spans="1:10">
      <c r="A408" s="8">
        <v>24807</v>
      </c>
      <c r="B408" s="10" t="s">
        <v>237</v>
      </c>
      <c r="C408" s="11" t="s">
        <v>730</v>
      </c>
      <c r="D408" s="11" t="s">
        <v>2927</v>
      </c>
      <c r="E408" s="11">
        <v>1520.04</v>
      </c>
      <c r="F408" s="11" t="s">
        <v>155</v>
      </c>
      <c r="G408" s="11" t="s">
        <v>2072</v>
      </c>
      <c r="H408" s="9" t="s">
        <v>454</v>
      </c>
      <c r="I408" s="9" t="s">
        <v>51</v>
      </c>
      <c r="J408" s="9" t="s">
        <v>2097</v>
      </c>
    </row>
    <row r="409" spans="1:10">
      <c r="A409" s="8">
        <v>64712</v>
      </c>
      <c r="B409" s="10" t="s">
        <v>1802</v>
      </c>
      <c r="C409" s="11" t="s">
        <v>731</v>
      </c>
      <c r="D409" s="11" t="s">
        <v>2826</v>
      </c>
      <c r="E409" s="11">
        <v>878.5</v>
      </c>
      <c r="F409" s="11" t="s">
        <v>113</v>
      </c>
      <c r="G409" s="11" t="s">
        <v>2072</v>
      </c>
      <c r="H409" s="9" t="s">
        <v>135</v>
      </c>
      <c r="I409" s="9" t="s">
        <v>84</v>
      </c>
      <c r="J409" s="9" t="s">
        <v>2104</v>
      </c>
    </row>
    <row r="410" spans="1:10">
      <c r="A410" s="8">
        <v>60038</v>
      </c>
      <c r="B410" s="10" t="s">
        <v>732</v>
      </c>
      <c r="C410" s="11" t="s">
        <v>733</v>
      </c>
      <c r="D410" s="11" t="s">
        <v>2778</v>
      </c>
      <c r="E410" s="11">
        <v>737.88</v>
      </c>
      <c r="F410" s="11" t="s">
        <v>227</v>
      </c>
      <c r="G410" s="11" t="s">
        <v>2072</v>
      </c>
      <c r="H410" s="9" t="s">
        <v>115</v>
      </c>
      <c r="I410" s="9" t="s">
        <v>116</v>
      </c>
      <c r="J410" s="9" t="s">
        <v>2073</v>
      </c>
    </row>
    <row r="411" spans="1:10">
      <c r="A411" s="8">
        <v>33208</v>
      </c>
      <c r="B411" s="10" t="s">
        <v>1803</v>
      </c>
      <c r="C411" s="11" t="s">
        <v>734</v>
      </c>
      <c r="D411" s="11" t="s">
        <v>2567</v>
      </c>
      <c r="E411" s="11">
        <v>1648.29</v>
      </c>
      <c r="F411" s="11" t="s">
        <v>458</v>
      </c>
      <c r="G411" s="11" t="s">
        <v>2072</v>
      </c>
      <c r="H411" s="9" t="s">
        <v>115</v>
      </c>
      <c r="I411" s="9" t="s">
        <v>116</v>
      </c>
      <c r="J411" s="9" t="s">
        <v>2073</v>
      </c>
    </row>
    <row r="412" spans="1:10">
      <c r="A412" s="8">
        <v>54945</v>
      </c>
      <c r="B412" s="10" t="s">
        <v>1804</v>
      </c>
      <c r="C412" s="11" t="s">
        <v>735</v>
      </c>
      <c r="D412" s="11" t="s">
        <v>2721</v>
      </c>
      <c r="E412" s="11">
        <v>955.14</v>
      </c>
      <c r="F412" s="11" t="s">
        <v>113</v>
      </c>
      <c r="G412" s="11" t="s">
        <v>2072</v>
      </c>
      <c r="H412" s="9" t="s">
        <v>388</v>
      </c>
      <c r="I412" s="9" t="s">
        <v>389</v>
      </c>
      <c r="J412" s="9" t="s">
        <v>2125</v>
      </c>
    </row>
    <row r="413" spans="1:10">
      <c r="A413" s="8">
        <v>64116</v>
      </c>
      <c r="B413" s="10" t="s">
        <v>1805</v>
      </c>
      <c r="C413" s="11" t="s">
        <v>1236</v>
      </c>
      <c r="D413" s="11" t="s">
        <v>2817</v>
      </c>
      <c r="E413" s="11">
        <v>878.5</v>
      </c>
      <c r="F413" s="11" t="s">
        <v>113</v>
      </c>
      <c r="G413" s="11" t="s">
        <v>2072</v>
      </c>
      <c r="H413" s="9" t="s">
        <v>1210</v>
      </c>
      <c r="I413" s="9" t="s">
        <v>1211</v>
      </c>
      <c r="J413" s="9" t="s">
        <v>2171</v>
      </c>
    </row>
    <row r="414" spans="1:10">
      <c r="A414" s="8">
        <v>56032</v>
      </c>
      <c r="B414" s="10" t="s">
        <v>1451</v>
      </c>
      <c r="C414" s="11" t="s">
        <v>18</v>
      </c>
      <c r="D414" s="11" t="s">
        <v>2413</v>
      </c>
      <c r="E414" s="11">
        <v>2110.38</v>
      </c>
      <c r="F414" s="11" t="s">
        <v>0</v>
      </c>
      <c r="G414" s="11" t="s">
        <v>2072</v>
      </c>
      <c r="H414" s="9" t="s">
        <v>306</v>
      </c>
      <c r="I414" s="9" t="s">
        <v>307</v>
      </c>
      <c r="J414" s="9" t="s">
        <v>2073</v>
      </c>
    </row>
    <row r="415" spans="1:10">
      <c r="A415" s="8">
        <v>37677</v>
      </c>
      <c r="B415" s="10" t="s">
        <v>736</v>
      </c>
      <c r="C415" s="11" t="s">
        <v>737</v>
      </c>
      <c r="D415" s="11" t="s">
        <v>2584</v>
      </c>
      <c r="E415" s="11">
        <v>878.5</v>
      </c>
      <c r="F415" s="11" t="s">
        <v>113</v>
      </c>
      <c r="G415" s="11" t="s">
        <v>2072</v>
      </c>
      <c r="H415" s="9" t="s">
        <v>135</v>
      </c>
      <c r="I415" s="9" t="s">
        <v>84</v>
      </c>
      <c r="J415" s="9" t="s">
        <v>2104</v>
      </c>
    </row>
    <row r="416" spans="1:10">
      <c r="A416" s="8">
        <v>66486</v>
      </c>
      <c r="B416" s="10" t="s">
        <v>1806</v>
      </c>
      <c r="C416" s="11" t="s">
        <v>1329</v>
      </c>
      <c r="D416" s="11" t="s">
        <v>2848</v>
      </c>
      <c r="E416" s="11">
        <v>1228.51</v>
      </c>
      <c r="F416" s="11" t="s">
        <v>415</v>
      </c>
      <c r="G416" s="11" t="s">
        <v>2072</v>
      </c>
      <c r="H416" s="9" t="s">
        <v>146</v>
      </c>
      <c r="I416" s="9" t="s">
        <v>4</v>
      </c>
      <c r="J416" s="9" t="s">
        <v>2073</v>
      </c>
    </row>
    <row r="417" spans="1:10">
      <c r="A417" s="8">
        <v>47190</v>
      </c>
      <c r="B417" s="10" t="s">
        <v>1807</v>
      </c>
      <c r="C417" s="11" t="s">
        <v>740</v>
      </c>
      <c r="D417" s="11" t="s">
        <v>2627</v>
      </c>
      <c r="E417" s="11">
        <v>1228.51</v>
      </c>
      <c r="F417" s="11" t="s">
        <v>308</v>
      </c>
      <c r="G417" s="11" t="s">
        <v>2072</v>
      </c>
      <c r="H417" s="9" t="s">
        <v>115</v>
      </c>
      <c r="I417" s="9" t="s">
        <v>116</v>
      </c>
      <c r="J417" s="9" t="s">
        <v>2073</v>
      </c>
    </row>
    <row r="418" spans="1:10">
      <c r="A418" s="8">
        <v>28571</v>
      </c>
      <c r="B418" s="10" t="s">
        <v>1808</v>
      </c>
      <c r="C418" s="11" t="s">
        <v>741</v>
      </c>
      <c r="D418" s="11" t="s">
        <v>2928</v>
      </c>
      <c r="E418" s="11">
        <v>1648.29</v>
      </c>
      <c r="F418" s="11" t="s">
        <v>458</v>
      </c>
      <c r="G418" s="11" t="s">
        <v>2072</v>
      </c>
      <c r="H418" s="9" t="s">
        <v>115</v>
      </c>
      <c r="I418" s="9" t="s">
        <v>116</v>
      </c>
      <c r="J418" s="9" t="s">
        <v>2073</v>
      </c>
    </row>
    <row r="419" spans="1:10">
      <c r="A419" s="8">
        <v>56002</v>
      </c>
      <c r="B419" s="10" t="s">
        <v>1452</v>
      </c>
      <c r="C419" s="11" t="s">
        <v>19</v>
      </c>
      <c r="D419" s="11" t="s">
        <v>2413</v>
      </c>
      <c r="E419" s="11">
        <v>2110.38</v>
      </c>
      <c r="F419" s="11" t="s">
        <v>0</v>
      </c>
      <c r="G419" s="11" t="s">
        <v>2072</v>
      </c>
      <c r="H419" s="9" t="s">
        <v>164</v>
      </c>
      <c r="I419" s="9" t="s">
        <v>165</v>
      </c>
      <c r="J419" s="9" t="s">
        <v>2073</v>
      </c>
    </row>
    <row r="420" spans="1:10">
      <c r="A420" s="8">
        <v>60223</v>
      </c>
      <c r="B420" s="10" t="s">
        <v>1809</v>
      </c>
      <c r="C420" s="11" t="s">
        <v>742</v>
      </c>
      <c r="D420" s="11" t="s">
        <v>2783</v>
      </c>
      <c r="E420" s="11">
        <v>1228.51</v>
      </c>
      <c r="F420" s="11" t="s">
        <v>666</v>
      </c>
      <c r="G420" s="11" t="s">
        <v>2072</v>
      </c>
      <c r="H420" s="9" t="s">
        <v>115</v>
      </c>
      <c r="I420" s="9" t="s">
        <v>116</v>
      </c>
      <c r="J420" s="9" t="s">
        <v>2073</v>
      </c>
    </row>
    <row r="421" spans="1:10">
      <c r="A421" s="8">
        <v>54977</v>
      </c>
      <c r="B421" s="10" t="s">
        <v>1810</v>
      </c>
      <c r="C421" s="11" t="s">
        <v>743</v>
      </c>
      <c r="D421" s="11" t="s">
        <v>2723</v>
      </c>
      <c r="E421" s="11">
        <v>1228.51</v>
      </c>
      <c r="F421" s="11" t="s">
        <v>139</v>
      </c>
      <c r="G421" s="11" t="s">
        <v>2072</v>
      </c>
      <c r="H421" s="9" t="s">
        <v>146</v>
      </c>
      <c r="I421" s="9" t="s">
        <v>4</v>
      </c>
      <c r="J421" s="9" t="s">
        <v>2073</v>
      </c>
    </row>
    <row r="422" spans="1:10">
      <c r="A422" s="8">
        <v>32032</v>
      </c>
      <c r="B422" s="10" t="s">
        <v>1811</v>
      </c>
      <c r="C422" s="11" t="s">
        <v>744</v>
      </c>
      <c r="D422" s="11" t="s">
        <v>2554</v>
      </c>
      <c r="E422" s="11">
        <v>955.15</v>
      </c>
      <c r="F422" s="11" t="s">
        <v>113</v>
      </c>
      <c r="G422" s="11" t="s">
        <v>2072</v>
      </c>
      <c r="H422" s="9" t="s">
        <v>225</v>
      </c>
      <c r="I422" s="9" t="s">
        <v>226</v>
      </c>
      <c r="J422" s="9" t="s">
        <v>2073</v>
      </c>
    </row>
    <row r="423" spans="1:10">
      <c r="A423" s="8">
        <v>57055</v>
      </c>
      <c r="B423" s="10" t="s">
        <v>1454</v>
      </c>
      <c r="C423" s="11" t="s">
        <v>20</v>
      </c>
      <c r="D423" s="11" t="s">
        <v>2417</v>
      </c>
      <c r="E423" s="11">
        <v>2110.38</v>
      </c>
      <c r="F423" s="11" t="s">
        <v>0</v>
      </c>
      <c r="G423" s="11" t="s">
        <v>2072</v>
      </c>
      <c r="H423" s="9" t="s">
        <v>306</v>
      </c>
      <c r="I423" s="9" t="s">
        <v>307</v>
      </c>
      <c r="J423" s="9" t="s">
        <v>2073</v>
      </c>
    </row>
    <row r="424" spans="1:10">
      <c r="A424" s="8">
        <v>61814</v>
      </c>
      <c r="B424" s="10" t="s">
        <v>1812</v>
      </c>
      <c r="C424" s="11" t="s">
        <v>1179</v>
      </c>
      <c r="D424" s="11" t="s">
        <v>2929</v>
      </c>
      <c r="E424" s="11">
        <v>714.24</v>
      </c>
      <c r="F424" s="11" t="s">
        <v>129</v>
      </c>
      <c r="G424" s="11" t="s">
        <v>2072</v>
      </c>
      <c r="H424" s="9" t="s">
        <v>1175</v>
      </c>
      <c r="I424" s="9" t="s">
        <v>1176</v>
      </c>
      <c r="J424" s="9" t="s">
        <v>2168</v>
      </c>
    </row>
    <row r="425" spans="1:10">
      <c r="A425" s="8">
        <v>58513</v>
      </c>
      <c r="B425" s="10" t="s">
        <v>1813</v>
      </c>
      <c r="C425" s="11" t="s">
        <v>745</v>
      </c>
      <c r="D425" s="11" t="s">
        <v>2760</v>
      </c>
      <c r="E425" s="11">
        <v>1520.04</v>
      </c>
      <c r="F425" s="11" t="s">
        <v>155</v>
      </c>
      <c r="G425" s="11" t="s">
        <v>2074</v>
      </c>
      <c r="H425" s="9" t="s">
        <v>243</v>
      </c>
      <c r="I425" s="9" t="s">
        <v>244</v>
      </c>
      <c r="J425" s="9" t="s">
        <v>2073</v>
      </c>
    </row>
    <row r="426" spans="1:10">
      <c r="A426" s="8">
        <v>64182</v>
      </c>
      <c r="B426" s="10" t="s">
        <v>1814</v>
      </c>
      <c r="C426" s="11" t="s">
        <v>1237</v>
      </c>
      <c r="D426" s="11" t="s">
        <v>2819</v>
      </c>
      <c r="E426" s="11">
        <v>737.88</v>
      </c>
      <c r="F426" s="11" t="s">
        <v>129</v>
      </c>
      <c r="G426" s="11" t="s">
        <v>2072</v>
      </c>
      <c r="H426" s="9" t="s">
        <v>153</v>
      </c>
      <c r="I426" s="9" t="s">
        <v>154</v>
      </c>
      <c r="J426" s="9" t="s">
        <v>2073</v>
      </c>
    </row>
    <row r="427" spans="1:10">
      <c r="A427" s="8">
        <v>22044</v>
      </c>
      <c r="B427" s="10" t="s">
        <v>746</v>
      </c>
      <c r="C427" s="11" t="s">
        <v>747</v>
      </c>
      <c r="D427" s="11" t="s">
        <v>2515</v>
      </c>
      <c r="E427" s="11">
        <v>878.5</v>
      </c>
      <c r="F427" s="11" t="s">
        <v>113</v>
      </c>
      <c r="G427" s="11" t="s">
        <v>2072</v>
      </c>
      <c r="H427" s="9" t="s">
        <v>493</v>
      </c>
      <c r="I427" s="9" t="s">
        <v>494</v>
      </c>
      <c r="J427" s="9" t="s">
        <v>2087</v>
      </c>
    </row>
    <row r="428" spans="1:10">
      <c r="A428" s="8">
        <v>52234</v>
      </c>
      <c r="B428" s="10" t="s">
        <v>1815</v>
      </c>
      <c r="C428" s="11" t="s">
        <v>748</v>
      </c>
      <c r="D428" s="11" t="s">
        <v>2680</v>
      </c>
      <c r="E428" s="11">
        <v>737.88</v>
      </c>
      <c r="F428" s="11" t="s">
        <v>122</v>
      </c>
      <c r="G428" s="11" t="s">
        <v>2074</v>
      </c>
      <c r="H428" s="9" t="s">
        <v>115</v>
      </c>
      <c r="I428" s="9" t="s">
        <v>116</v>
      </c>
      <c r="J428" s="9" t="s">
        <v>2073</v>
      </c>
    </row>
    <row r="429" spans="1:10">
      <c r="A429" s="8">
        <v>24264</v>
      </c>
      <c r="B429" s="10" t="s">
        <v>678</v>
      </c>
      <c r="C429" s="11" t="s">
        <v>749</v>
      </c>
      <c r="D429" s="11" t="s">
        <v>2532</v>
      </c>
      <c r="E429" s="11">
        <v>1520.04</v>
      </c>
      <c r="F429" s="11" t="s">
        <v>155</v>
      </c>
      <c r="G429" s="11" t="s">
        <v>2072</v>
      </c>
      <c r="H429" s="9" t="s">
        <v>115</v>
      </c>
      <c r="I429" s="9" t="s">
        <v>116</v>
      </c>
      <c r="J429" s="9" t="s">
        <v>2073</v>
      </c>
    </row>
    <row r="430" spans="1:10">
      <c r="A430" s="8">
        <v>53269</v>
      </c>
      <c r="B430" s="10" t="s">
        <v>751</v>
      </c>
      <c r="C430" s="11" t="s">
        <v>752</v>
      </c>
      <c r="D430" s="11" t="s">
        <v>2698</v>
      </c>
      <c r="E430" s="11">
        <v>1520.04</v>
      </c>
      <c r="F430" s="11" t="s">
        <v>155</v>
      </c>
      <c r="G430" s="11" t="s">
        <v>2072</v>
      </c>
      <c r="H430" s="9" t="s">
        <v>270</v>
      </c>
      <c r="I430" s="9" t="s">
        <v>70</v>
      </c>
      <c r="J430" s="9" t="s">
        <v>2084</v>
      </c>
    </row>
    <row r="431" spans="1:10">
      <c r="A431" s="8">
        <v>54467</v>
      </c>
      <c r="B431" s="10" t="s">
        <v>1816</v>
      </c>
      <c r="C431" s="11" t="s">
        <v>753</v>
      </c>
      <c r="D431" s="11" t="s">
        <v>2714</v>
      </c>
      <c r="E431" s="11">
        <v>955.14</v>
      </c>
      <c r="F431" s="11" t="s">
        <v>113</v>
      </c>
      <c r="G431" s="11" t="s">
        <v>2072</v>
      </c>
      <c r="H431" s="9" t="s">
        <v>537</v>
      </c>
      <c r="I431" s="9" t="s">
        <v>538</v>
      </c>
      <c r="J431" s="9" t="s">
        <v>2148</v>
      </c>
    </row>
    <row r="432" spans="1:10">
      <c r="A432" s="8">
        <v>60213</v>
      </c>
      <c r="B432" s="10" t="s">
        <v>1817</v>
      </c>
      <c r="C432" s="11" t="s">
        <v>754</v>
      </c>
      <c r="D432" s="11" t="s">
        <v>2782</v>
      </c>
      <c r="E432" s="11">
        <v>1102.18</v>
      </c>
      <c r="F432" s="11" t="s">
        <v>205</v>
      </c>
      <c r="G432" s="11" t="s">
        <v>2072</v>
      </c>
      <c r="H432" s="9" t="s">
        <v>164</v>
      </c>
      <c r="I432" s="9" t="s">
        <v>165</v>
      </c>
      <c r="J432" s="9" t="s">
        <v>2073</v>
      </c>
    </row>
    <row r="433" spans="1:10">
      <c r="A433" s="8">
        <v>57056</v>
      </c>
      <c r="B433" s="10" t="s">
        <v>1455</v>
      </c>
      <c r="C433" s="11" t="s">
        <v>21</v>
      </c>
      <c r="D433" s="11" t="s">
        <v>2417</v>
      </c>
      <c r="E433" s="11">
        <v>2110.38</v>
      </c>
      <c r="F433" s="11" t="s">
        <v>0</v>
      </c>
      <c r="G433" s="11" t="s">
        <v>2072</v>
      </c>
      <c r="H433" s="9" t="s">
        <v>306</v>
      </c>
      <c r="I433" s="9" t="s">
        <v>307</v>
      </c>
      <c r="J433" s="9" t="s">
        <v>2073</v>
      </c>
    </row>
    <row r="434" spans="1:10">
      <c r="A434" s="8">
        <v>66105</v>
      </c>
      <c r="B434" s="10" t="s">
        <v>1456</v>
      </c>
      <c r="C434" s="11" t="s">
        <v>1316</v>
      </c>
      <c r="D434" s="11" t="s">
        <v>2844</v>
      </c>
      <c r="E434" s="11">
        <v>2110.38</v>
      </c>
      <c r="F434" s="11" t="s">
        <v>0</v>
      </c>
      <c r="G434" s="11" t="s">
        <v>2072</v>
      </c>
      <c r="H434" s="9" t="s">
        <v>306</v>
      </c>
      <c r="I434" s="9" t="s">
        <v>307</v>
      </c>
      <c r="J434" s="9" t="s">
        <v>2073</v>
      </c>
    </row>
    <row r="435" spans="1:10">
      <c r="A435" s="8">
        <v>35656</v>
      </c>
      <c r="B435" s="10" t="s">
        <v>1818</v>
      </c>
      <c r="C435" s="11" t="s">
        <v>755</v>
      </c>
      <c r="D435" s="11" t="s">
        <v>2579</v>
      </c>
      <c r="E435" s="11">
        <v>737.88</v>
      </c>
      <c r="F435" s="11" t="s">
        <v>129</v>
      </c>
      <c r="G435" s="11" t="s">
        <v>2072</v>
      </c>
      <c r="H435" s="9" t="s">
        <v>131</v>
      </c>
      <c r="I435" s="9" t="s">
        <v>132</v>
      </c>
      <c r="J435" s="9" t="s">
        <v>2073</v>
      </c>
    </row>
    <row r="436" spans="1:10">
      <c r="A436" s="8">
        <v>68641</v>
      </c>
      <c r="B436" s="10" t="s">
        <v>2343</v>
      </c>
      <c r="C436" s="11" t="s">
        <v>2344</v>
      </c>
      <c r="D436" s="11" t="s">
        <v>2452</v>
      </c>
      <c r="E436" s="11">
        <v>822.96</v>
      </c>
      <c r="F436" s="11" t="s">
        <v>133</v>
      </c>
      <c r="G436" s="11" t="s">
        <v>2112</v>
      </c>
      <c r="H436" s="9" t="s">
        <v>250</v>
      </c>
      <c r="I436" s="9" t="s">
        <v>90</v>
      </c>
      <c r="J436" s="9" t="s">
        <v>2076</v>
      </c>
    </row>
    <row r="437" spans="1:10">
      <c r="A437" s="8">
        <v>67014</v>
      </c>
      <c r="B437" s="10" t="s">
        <v>1819</v>
      </c>
      <c r="C437" s="11" t="s">
        <v>1820</v>
      </c>
      <c r="D437" s="11" t="s">
        <v>2851</v>
      </c>
      <c r="E437" s="11">
        <v>714.24</v>
      </c>
      <c r="F437" s="11" t="s">
        <v>122</v>
      </c>
      <c r="G437" s="11" t="s">
        <v>2072</v>
      </c>
      <c r="H437" s="9" t="s">
        <v>1101</v>
      </c>
      <c r="I437" s="9" t="s">
        <v>1102</v>
      </c>
      <c r="J437" s="9" t="s">
        <v>2178</v>
      </c>
    </row>
    <row r="438" spans="1:10">
      <c r="A438" s="8">
        <v>56559</v>
      </c>
      <c r="B438" s="10" t="s">
        <v>1721</v>
      </c>
      <c r="C438" s="11" t="s">
        <v>757</v>
      </c>
      <c r="D438" s="11" t="s">
        <v>2930</v>
      </c>
      <c r="E438" s="11">
        <v>357.13</v>
      </c>
      <c r="F438" s="11" t="s">
        <v>129</v>
      </c>
      <c r="G438" s="11" t="s">
        <v>2072</v>
      </c>
      <c r="H438" s="9" t="s">
        <v>758</v>
      </c>
      <c r="I438" s="9" t="s">
        <v>759</v>
      </c>
      <c r="J438" s="9" t="s">
        <v>2154</v>
      </c>
    </row>
    <row r="439" spans="1:10">
      <c r="A439" s="8">
        <v>53804</v>
      </c>
      <c r="B439" s="10" t="s">
        <v>760</v>
      </c>
      <c r="C439" s="11" t="s">
        <v>761</v>
      </c>
      <c r="D439" s="11" t="s">
        <v>2703</v>
      </c>
      <c r="E439" s="11">
        <v>714.24</v>
      </c>
      <c r="F439" s="11" t="s">
        <v>129</v>
      </c>
      <c r="G439" s="11" t="s">
        <v>2072</v>
      </c>
      <c r="H439" s="9" t="s">
        <v>304</v>
      </c>
      <c r="I439" s="9" t="s">
        <v>79</v>
      </c>
      <c r="J439" s="9" t="s">
        <v>2142</v>
      </c>
    </row>
    <row r="440" spans="1:10">
      <c r="A440" s="8">
        <v>40296</v>
      </c>
      <c r="B440" s="10" t="s">
        <v>763</v>
      </c>
      <c r="C440" s="11" t="s">
        <v>762</v>
      </c>
      <c r="D440" s="11" t="s">
        <v>2596</v>
      </c>
      <c r="E440" s="11">
        <v>955.14</v>
      </c>
      <c r="F440" s="11" t="s">
        <v>113</v>
      </c>
      <c r="G440" s="11" t="s">
        <v>2072</v>
      </c>
      <c r="H440" s="9" t="s">
        <v>185</v>
      </c>
      <c r="I440" s="9" t="s">
        <v>99</v>
      </c>
      <c r="J440" s="9" t="s">
        <v>2103</v>
      </c>
    </row>
    <row r="441" spans="1:10">
      <c r="A441" s="8">
        <v>63703</v>
      </c>
      <c r="B441" s="10" t="s">
        <v>1457</v>
      </c>
      <c r="C441" s="11" t="s">
        <v>62</v>
      </c>
      <c r="D441" s="11" t="s">
        <v>2931</v>
      </c>
      <c r="E441" s="11">
        <v>2166.9</v>
      </c>
      <c r="F441" s="11" t="s">
        <v>0</v>
      </c>
      <c r="G441" s="11" t="s">
        <v>2072</v>
      </c>
      <c r="H441" s="9" t="s">
        <v>194</v>
      </c>
      <c r="I441" s="9" t="s">
        <v>195</v>
      </c>
      <c r="J441" s="9" t="s">
        <v>2093</v>
      </c>
    </row>
    <row r="442" spans="1:10">
      <c r="A442" s="8">
        <v>51450</v>
      </c>
      <c r="B442" s="10" t="s">
        <v>630</v>
      </c>
      <c r="C442" s="11" t="s">
        <v>764</v>
      </c>
      <c r="D442" s="11" t="s">
        <v>2669</v>
      </c>
      <c r="E442" s="11">
        <v>1093.3699999999999</v>
      </c>
      <c r="F442" s="11" t="s">
        <v>117</v>
      </c>
      <c r="G442" s="11" t="s">
        <v>2072</v>
      </c>
      <c r="H442" s="9" t="s">
        <v>146</v>
      </c>
      <c r="I442" s="9" t="s">
        <v>4</v>
      </c>
      <c r="J442" s="9" t="s">
        <v>2073</v>
      </c>
    </row>
    <row r="443" spans="1:10">
      <c r="A443" s="8">
        <v>64300</v>
      </c>
      <c r="B443" s="10" t="s">
        <v>1821</v>
      </c>
      <c r="C443" s="11" t="s">
        <v>1238</v>
      </c>
      <c r="D443" s="11" t="s">
        <v>2820</v>
      </c>
      <c r="E443" s="11">
        <v>737.88</v>
      </c>
      <c r="F443" s="11" t="s">
        <v>122</v>
      </c>
      <c r="G443" s="11" t="s">
        <v>2072</v>
      </c>
      <c r="H443" s="9" t="s">
        <v>153</v>
      </c>
      <c r="I443" s="9" t="s">
        <v>154</v>
      </c>
      <c r="J443" s="9" t="s">
        <v>2073</v>
      </c>
    </row>
    <row r="444" spans="1:10">
      <c r="A444" s="8">
        <v>54146</v>
      </c>
      <c r="B444" s="10" t="s">
        <v>1290</v>
      </c>
      <c r="C444" s="11" t="s">
        <v>770</v>
      </c>
      <c r="D444" s="11" t="s">
        <v>2694</v>
      </c>
      <c r="E444" s="11">
        <v>178.58</v>
      </c>
      <c r="F444" s="11" t="s">
        <v>129</v>
      </c>
      <c r="G444" s="11" t="s">
        <v>2094</v>
      </c>
      <c r="H444" s="9" t="s">
        <v>771</v>
      </c>
      <c r="I444" s="9" t="s">
        <v>772</v>
      </c>
      <c r="J444" s="9" t="s">
        <v>2145</v>
      </c>
    </row>
    <row r="445" spans="1:10">
      <c r="A445" s="8">
        <v>22940</v>
      </c>
      <c r="B445" s="10" t="s">
        <v>632</v>
      </c>
      <c r="C445" s="11" t="s">
        <v>773</v>
      </c>
      <c r="D445" s="11" t="s">
        <v>2521</v>
      </c>
      <c r="E445" s="11">
        <v>822.96</v>
      </c>
      <c r="F445" s="11" t="s">
        <v>133</v>
      </c>
      <c r="G445" s="11" t="s">
        <v>2072</v>
      </c>
      <c r="H445" s="9" t="s">
        <v>277</v>
      </c>
      <c r="I445" s="9" t="s">
        <v>53</v>
      </c>
      <c r="J445" s="9" t="s">
        <v>2075</v>
      </c>
    </row>
    <row r="446" spans="1:10">
      <c r="A446" s="8">
        <v>50706</v>
      </c>
      <c r="B446" s="10" t="s">
        <v>776</v>
      </c>
      <c r="C446" s="11" t="s">
        <v>777</v>
      </c>
      <c r="D446" s="11" t="s">
        <v>2658</v>
      </c>
      <c r="E446" s="11">
        <v>1520.04</v>
      </c>
      <c r="F446" s="11" t="s">
        <v>155</v>
      </c>
      <c r="G446" s="11" t="s">
        <v>2072</v>
      </c>
      <c r="H446" s="9" t="s">
        <v>221</v>
      </c>
      <c r="I446" s="9" t="s">
        <v>222</v>
      </c>
      <c r="J446" s="9" t="s">
        <v>2073</v>
      </c>
    </row>
    <row r="447" spans="1:10">
      <c r="A447" s="8">
        <v>55273</v>
      </c>
      <c r="B447" s="10" t="s">
        <v>1822</v>
      </c>
      <c r="C447" s="11" t="s">
        <v>778</v>
      </c>
      <c r="D447" s="11" t="s">
        <v>2727</v>
      </c>
      <c r="E447" s="11">
        <v>822.96</v>
      </c>
      <c r="F447" s="11" t="s">
        <v>133</v>
      </c>
      <c r="G447" s="11" t="s">
        <v>2072</v>
      </c>
      <c r="H447" s="9" t="s">
        <v>366</v>
      </c>
      <c r="I447" s="9" t="s">
        <v>367</v>
      </c>
      <c r="J447" s="9" t="s">
        <v>2073</v>
      </c>
    </row>
    <row r="448" spans="1:10">
      <c r="A448" s="8">
        <v>31327</v>
      </c>
      <c r="B448" s="10" t="s">
        <v>1823</v>
      </c>
      <c r="C448" s="11" t="s">
        <v>779</v>
      </c>
      <c r="D448" s="11" t="s">
        <v>2932</v>
      </c>
      <c r="E448" s="11">
        <v>1520.04</v>
      </c>
      <c r="F448" s="11" t="s">
        <v>155</v>
      </c>
      <c r="G448" s="11" t="s">
        <v>2072</v>
      </c>
      <c r="H448" s="9" t="s">
        <v>355</v>
      </c>
      <c r="I448" s="9" t="s">
        <v>49</v>
      </c>
      <c r="J448" s="9" t="s">
        <v>2077</v>
      </c>
    </row>
    <row r="449" spans="1:10">
      <c r="A449" s="8">
        <v>59494</v>
      </c>
      <c r="B449" s="10" t="s">
        <v>780</v>
      </c>
      <c r="C449" s="11" t="s">
        <v>781</v>
      </c>
      <c r="D449" s="11" t="s">
        <v>2771</v>
      </c>
      <c r="E449" s="11">
        <v>822.96</v>
      </c>
      <c r="F449" s="11" t="s">
        <v>133</v>
      </c>
      <c r="G449" s="11" t="s">
        <v>2072</v>
      </c>
      <c r="H449" s="9" t="s">
        <v>153</v>
      </c>
      <c r="I449" s="9" t="s">
        <v>154</v>
      </c>
      <c r="J449" s="9" t="s">
        <v>2073</v>
      </c>
    </row>
    <row r="450" spans="1:10">
      <c r="A450" s="8">
        <v>52909</v>
      </c>
      <c r="B450" s="10" t="s">
        <v>599</v>
      </c>
      <c r="C450" s="11" t="s">
        <v>782</v>
      </c>
      <c r="D450" s="11" t="s">
        <v>2689</v>
      </c>
      <c r="E450" s="11">
        <v>1520.04</v>
      </c>
      <c r="F450" s="11" t="s">
        <v>155</v>
      </c>
      <c r="G450" s="11" t="s">
        <v>2072</v>
      </c>
      <c r="H450" s="9" t="s">
        <v>153</v>
      </c>
      <c r="I450" s="9" t="s">
        <v>154</v>
      </c>
      <c r="J450" s="9" t="s">
        <v>2073</v>
      </c>
    </row>
    <row r="451" spans="1:10">
      <c r="A451" s="8">
        <v>67935</v>
      </c>
      <c r="B451" s="10" t="s">
        <v>2221</v>
      </c>
      <c r="C451" s="11" t="s">
        <v>2222</v>
      </c>
      <c r="D451" s="11" t="s">
        <v>2868</v>
      </c>
      <c r="E451" s="11">
        <v>737.88</v>
      </c>
      <c r="F451" s="11" t="s">
        <v>122</v>
      </c>
      <c r="G451" s="11" t="s">
        <v>2072</v>
      </c>
      <c r="H451" s="9" t="s">
        <v>366</v>
      </c>
      <c r="I451" s="9" t="s">
        <v>367</v>
      </c>
      <c r="J451" s="9" t="s">
        <v>2073</v>
      </c>
    </row>
    <row r="452" spans="1:10">
      <c r="A452" s="8">
        <v>56040</v>
      </c>
      <c r="B452" s="10" t="s">
        <v>1458</v>
      </c>
      <c r="C452" s="11" t="s">
        <v>22</v>
      </c>
      <c r="D452" s="11" t="s">
        <v>2413</v>
      </c>
      <c r="E452" s="11">
        <v>2110.38</v>
      </c>
      <c r="F452" s="11" t="s">
        <v>0</v>
      </c>
      <c r="G452" s="11" t="s">
        <v>2072</v>
      </c>
      <c r="H452" s="9" t="s">
        <v>306</v>
      </c>
      <c r="I452" s="9" t="s">
        <v>307</v>
      </c>
      <c r="J452" s="9" t="s">
        <v>2073</v>
      </c>
    </row>
    <row r="453" spans="1:10">
      <c r="A453" s="8">
        <v>46929</v>
      </c>
      <c r="B453" s="10" t="s">
        <v>1824</v>
      </c>
      <c r="C453" s="11" t="s">
        <v>783</v>
      </c>
      <c r="D453" s="11" t="s">
        <v>2624</v>
      </c>
      <c r="E453" s="11">
        <v>1520.04</v>
      </c>
      <c r="F453" s="11" t="s">
        <v>155</v>
      </c>
      <c r="G453" s="11" t="s">
        <v>2072</v>
      </c>
      <c r="H453" s="9" t="s">
        <v>115</v>
      </c>
      <c r="I453" s="9" t="s">
        <v>116</v>
      </c>
      <c r="J453" s="9" t="s">
        <v>2073</v>
      </c>
    </row>
    <row r="454" spans="1:10">
      <c r="A454" s="8">
        <v>49902</v>
      </c>
      <c r="B454" s="10" t="s">
        <v>1825</v>
      </c>
      <c r="C454" s="11" t="s">
        <v>784</v>
      </c>
      <c r="D454" s="11" t="s">
        <v>2651</v>
      </c>
      <c r="E454" s="11">
        <v>1520.04</v>
      </c>
      <c r="F454" s="11" t="s">
        <v>155</v>
      </c>
      <c r="G454" s="11" t="s">
        <v>2072</v>
      </c>
      <c r="H454" s="9" t="s">
        <v>277</v>
      </c>
      <c r="I454" s="9" t="s">
        <v>53</v>
      </c>
      <c r="J454" s="9" t="s">
        <v>2075</v>
      </c>
    </row>
    <row r="455" spans="1:10">
      <c r="A455" s="8">
        <v>60854</v>
      </c>
      <c r="B455" s="10" t="s">
        <v>1826</v>
      </c>
      <c r="C455" s="11" t="s">
        <v>788</v>
      </c>
      <c r="D455" s="11" t="s">
        <v>2790</v>
      </c>
      <c r="E455" s="11">
        <v>1520.04</v>
      </c>
      <c r="F455" s="11" t="s">
        <v>155</v>
      </c>
      <c r="G455" s="11" t="s">
        <v>2074</v>
      </c>
      <c r="H455" s="9" t="s">
        <v>153</v>
      </c>
      <c r="I455" s="9" t="s">
        <v>154</v>
      </c>
      <c r="J455" s="9" t="s">
        <v>2073</v>
      </c>
    </row>
    <row r="456" spans="1:10">
      <c r="A456" s="8">
        <v>42109</v>
      </c>
      <c r="B456" s="10" t="s">
        <v>789</v>
      </c>
      <c r="C456" s="11" t="s">
        <v>790</v>
      </c>
      <c r="D456" s="11" t="s">
        <v>2933</v>
      </c>
      <c r="E456" s="11">
        <v>714.24</v>
      </c>
      <c r="F456" s="11" t="s">
        <v>129</v>
      </c>
      <c r="G456" s="11" t="s">
        <v>2072</v>
      </c>
      <c r="H456" s="9" t="s">
        <v>791</v>
      </c>
      <c r="I456" s="9" t="s">
        <v>792</v>
      </c>
      <c r="J456" s="9" t="s">
        <v>2122</v>
      </c>
    </row>
    <row r="457" spans="1:10">
      <c r="A457" s="8">
        <v>52690</v>
      </c>
      <c r="B457" s="10" t="s">
        <v>1827</v>
      </c>
      <c r="C457" s="11" t="s">
        <v>793</v>
      </c>
      <c r="D457" s="11" t="s">
        <v>2686</v>
      </c>
      <c r="E457" s="11">
        <v>1520.04</v>
      </c>
      <c r="F457" s="11" t="s">
        <v>155</v>
      </c>
      <c r="G457" s="11" t="s">
        <v>2072</v>
      </c>
      <c r="H457" s="9" t="s">
        <v>146</v>
      </c>
      <c r="I457" s="9" t="s">
        <v>4</v>
      </c>
      <c r="J457" s="9" t="s">
        <v>2073</v>
      </c>
    </row>
    <row r="458" spans="1:10">
      <c r="A458" s="8">
        <v>64612</v>
      </c>
      <c r="B458" s="10" t="s">
        <v>1828</v>
      </c>
      <c r="C458" s="11" t="s">
        <v>1263</v>
      </c>
      <c r="D458" s="11" t="s">
        <v>2825</v>
      </c>
      <c r="E458" s="11">
        <v>737.88</v>
      </c>
      <c r="F458" s="11" t="s">
        <v>122</v>
      </c>
      <c r="G458" s="11" t="s">
        <v>2072</v>
      </c>
      <c r="H458" s="9" t="s">
        <v>366</v>
      </c>
      <c r="I458" s="9" t="s">
        <v>367</v>
      </c>
      <c r="J458" s="9" t="s">
        <v>2073</v>
      </c>
    </row>
    <row r="459" spans="1:10">
      <c r="A459" s="8">
        <v>49209</v>
      </c>
      <c r="B459" s="10" t="s">
        <v>1829</v>
      </c>
      <c r="C459" s="11" t="s">
        <v>794</v>
      </c>
      <c r="D459" s="11" t="s">
        <v>2645</v>
      </c>
      <c r="E459" s="11">
        <v>878.5</v>
      </c>
      <c r="F459" s="11" t="s">
        <v>113</v>
      </c>
      <c r="G459" s="11" t="s">
        <v>2072</v>
      </c>
      <c r="H459" s="9" t="s">
        <v>450</v>
      </c>
      <c r="I459" s="9" t="s">
        <v>451</v>
      </c>
      <c r="J459" s="9" t="s">
        <v>2130</v>
      </c>
    </row>
    <row r="460" spans="1:10">
      <c r="A460" s="8">
        <v>56127</v>
      </c>
      <c r="B460" s="10" t="s">
        <v>1459</v>
      </c>
      <c r="C460" s="11" t="s">
        <v>71</v>
      </c>
      <c r="D460" s="11" t="s">
        <v>2413</v>
      </c>
      <c r="E460" s="11">
        <v>2110.38</v>
      </c>
      <c r="F460" s="11" t="s">
        <v>0</v>
      </c>
      <c r="G460" s="11" t="s">
        <v>2072</v>
      </c>
      <c r="H460" s="9" t="s">
        <v>795</v>
      </c>
      <c r="I460" s="9" t="s">
        <v>796</v>
      </c>
      <c r="J460" s="9" t="s">
        <v>2082</v>
      </c>
    </row>
    <row r="461" spans="1:10">
      <c r="A461" s="8">
        <v>68100</v>
      </c>
      <c r="B461" s="10" t="s">
        <v>2272</v>
      </c>
      <c r="C461" s="11" t="s">
        <v>2273</v>
      </c>
      <c r="D461" s="11" t="s">
        <v>2871</v>
      </c>
      <c r="E461" s="11">
        <v>737.88</v>
      </c>
      <c r="F461" s="11" t="s">
        <v>129</v>
      </c>
      <c r="G461" s="11" t="s">
        <v>2072</v>
      </c>
      <c r="H461" s="9" t="s">
        <v>234</v>
      </c>
      <c r="I461" s="9" t="s">
        <v>235</v>
      </c>
      <c r="J461" s="9" t="s">
        <v>2073</v>
      </c>
    </row>
    <row r="462" spans="1:10">
      <c r="A462" s="8">
        <v>68458</v>
      </c>
      <c r="B462" s="10" t="s">
        <v>2274</v>
      </c>
      <c r="C462" s="11" t="s">
        <v>2275</v>
      </c>
      <c r="D462" s="11" t="s">
        <v>2866</v>
      </c>
      <c r="E462" s="11">
        <v>1520.04</v>
      </c>
      <c r="F462" s="11" t="s">
        <v>155</v>
      </c>
      <c r="G462" s="11" t="s">
        <v>2072</v>
      </c>
      <c r="H462" s="9" t="s">
        <v>153</v>
      </c>
      <c r="I462" s="9" t="s">
        <v>154</v>
      </c>
      <c r="J462" s="9" t="s">
        <v>2073</v>
      </c>
    </row>
    <row r="463" spans="1:10">
      <c r="A463" s="8">
        <v>64745</v>
      </c>
      <c r="B463" s="10" t="s">
        <v>1830</v>
      </c>
      <c r="C463" s="11" t="s">
        <v>1264</v>
      </c>
      <c r="D463" s="11" t="s">
        <v>2407</v>
      </c>
      <c r="E463" s="11">
        <v>178.57</v>
      </c>
      <c r="F463" s="11" t="s">
        <v>129</v>
      </c>
      <c r="G463" s="11" t="s">
        <v>2072</v>
      </c>
      <c r="H463" s="9" t="s">
        <v>1265</v>
      </c>
      <c r="I463" s="9" t="s">
        <v>1266</v>
      </c>
      <c r="J463" s="9" t="s">
        <v>2174</v>
      </c>
    </row>
    <row r="464" spans="1:10">
      <c r="A464" s="8">
        <v>56042</v>
      </c>
      <c r="B464" s="10" t="s">
        <v>1463</v>
      </c>
      <c r="C464" s="11" t="s">
        <v>52</v>
      </c>
      <c r="D464" s="11" t="s">
        <v>2413</v>
      </c>
      <c r="E464" s="11">
        <v>2110.38</v>
      </c>
      <c r="F464" s="11" t="s">
        <v>0</v>
      </c>
      <c r="G464" s="11" t="s">
        <v>2072</v>
      </c>
      <c r="H464" s="9" t="s">
        <v>797</v>
      </c>
      <c r="I464" s="9" t="s">
        <v>798</v>
      </c>
      <c r="J464" s="9" t="s">
        <v>2075</v>
      </c>
    </row>
    <row r="465" spans="1:10">
      <c r="A465" s="8">
        <v>54532</v>
      </c>
      <c r="B465" s="10" t="s">
        <v>799</v>
      </c>
      <c r="C465" s="11" t="s">
        <v>800</v>
      </c>
      <c r="D465" s="11" t="s">
        <v>2715</v>
      </c>
      <c r="E465" s="11">
        <v>1093.3699999999999</v>
      </c>
      <c r="F465" s="11" t="s">
        <v>117</v>
      </c>
      <c r="G465" s="11" t="s">
        <v>2085</v>
      </c>
      <c r="H465" s="9" t="s">
        <v>115</v>
      </c>
      <c r="I465" s="9" t="s">
        <v>116</v>
      </c>
      <c r="J465" s="9" t="s">
        <v>2073</v>
      </c>
    </row>
    <row r="466" spans="1:10">
      <c r="A466" s="8">
        <v>33679</v>
      </c>
      <c r="B466" s="10" t="s">
        <v>1831</v>
      </c>
      <c r="C466" s="11" t="s">
        <v>801</v>
      </c>
      <c r="D466" s="11" t="s">
        <v>2569</v>
      </c>
      <c r="E466" s="11">
        <v>1520.04</v>
      </c>
      <c r="F466" s="11" t="s">
        <v>155</v>
      </c>
      <c r="G466" s="11" t="s">
        <v>2072</v>
      </c>
      <c r="H466" s="9" t="s">
        <v>248</v>
      </c>
      <c r="I466" s="9" t="s">
        <v>249</v>
      </c>
      <c r="J466" s="9" t="s">
        <v>2073</v>
      </c>
    </row>
    <row r="467" spans="1:10">
      <c r="A467" s="8">
        <v>56008</v>
      </c>
      <c r="B467" s="10" t="s">
        <v>1467</v>
      </c>
      <c r="C467" s="11" t="s">
        <v>23</v>
      </c>
      <c r="D467" s="11" t="s">
        <v>2413</v>
      </c>
      <c r="E467" s="11">
        <v>2110.38</v>
      </c>
      <c r="F467" s="11" t="s">
        <v>0</v>
      </c>
      <c r="G467" s="11" t="s">
        <v>2072</v>
      </c>
      <c r="H467" s="9" t="s">
        <v>306</v>
      </c>
      <c r="I467" s="9" t="s">
        <v>307</v>
      </c>
      <c r="J467" s="9" t="s">
        <v>2073</v>
      </c>
    </row>
    <row r="468" spans="1:10">
      <c r="A468" s="8">
        <v>58061</v>
      </c>
      <c r="B468" s="10" t="s">
        <v>1468</v>
      </c>
      <c r="C468" s="11" t="s">
        <v>24</v>
      </c>
      <c r="D468" s="11" t="s">
        <v>2752</v>
      </c>
      <c r="E468" s="11">
        <v>2110.38</v>
      </c>
      <c r="F468" s="11" t="s">
        <v>0</v>
      </c>
      <c r="G468" s="11" t="s">
        <v>2072</v>
      </c>
      <c r="H468" s="9" t="s">
        <v>306</v>
      </c>
      <c r="I468" s="9" t="s">
        <v>307</v>
      </c>
      <c r="J468" s="9" t="s">
        <v>2073</v>
      </c>
    </row>
    <row r="469" spans="1:10">
      <c r="A469" s="8">
        <v>60391</v>
      </c>
      <c r="B469" s="10" t="s">
        <v>1832</v>
      </c>
      <c r="C469" s="11" t="s">
        <v>802</v>
      </c>
      <c r="D469" s="11" t="s">
        <v>2784</v>
      </c>
      <c r="E469" s="11">
        <v>737.88</v>
      </c>
      <c r="F469" s="11" t="s">
        <v>122</v>
      </c>
      <c r="G469" s="11" t="s">
        <v>2072</v>
      </c>
      <c r="H469" s="9" t="s">
        <v>248</v>
      </c>
      <c r="I469" s="9" t="s">
        <v>249</v>
      </c>
      <c r="J469" s="9" t="s">
        <v>2073</v>
      </c>
    </row>
    <row r="470" spans="1:10">
      <c r="A470" s="8">
        <v>57414</v>
      </c>
      <c r="B470" s="10" t="s">
        <v>1833</v>
      </c>
      <c r="C470" s="11" t="s">
        <v>803</v>
      </c>
      <c r="D470" s="11" t="s">
        <v>2934</v>
      </c>
      <c r="E470" s="11">
        <v>1520.04</v>
      </c>
      <c r="F470" s="11" t="s">
        <v>155</v>
      </c>
      <c r="G470" s="11" t="s">
        <v>2072</v>
      </c>
      <c r="H470" s="9" t="s">
        <v>611</v>
      </c>
      <c r="I470" s="9" t="s">
        <v>612</v>
      </c>
      <c r="J470" s="9" t="s">
        <v>2157</v>
      </c>
    </row>
    <row r="471" spans="1:10">
      <c r="A471" s="8">
        <v>4165</v>
      </c>
      <c r="B471" s="10" t="s">
        <v>1834</v>
      </c>
      <c r="C471" s="11" t="s">
        <v>805</v>
      </c>
      <c r="D471" s="11" t="s">
        <v>2451</v>
      </c>
      <c r="E471" s="11">
        <v>1648.29</v>
      </c>
      <c r="F471" s="11" t="s">
        <v>458</v>
      </c>
      <c r="G471" s="11" t="s">
        <v>2072</v>
      </c>
      <c r="H471" s="9" t="s">
        <v>146</v>
      </c>
      <c r="I471" s="9" t="s">
        <v>4</v>
      </c>
      <c r="J471" s="9" t="s">
        <v>2073</v>
      </c>
    </row>
    <row r="472" spans="1:10">
      <c r="A472" s="8">
        <v>61795</v>
      </c>
      <c r="B472" s="10" t="s">
        <v>1835</v>
      </c>
      <c r="C472" s="11" t="s">
        <v>1180</v>
      </c>
      <c r="D472" s="11" t="s">
        <v>2801</v>
      </c>
      <c r="E472" s="11">
        <v>368.5</v>
      </c>
      <c r="F472" s="11" t="s">
        <v>129</v>
      </c>
      <c r="G472" s="11" t="s">
        <v>2072</v>
      </c>
      <c r="H472" s="9" t="s">
        <v>396</v>
      </c>
      <c r="I472" s="9" t="s">
        <v>397</v>
      </c>
      <c r="J472" s="9" t="s">
        <v>2165</v>
      </c>
    </row>
    <row r="473" spans="1:10">
      <c r="A473" s="8">
        <v>54655</v>
      </c>
      <c r="B473" s="10" t="s">
        <v>768</v>
      </c>
      <c r="C473" s="11" t="s">
        <v>807</v>
      </c>
      <c r="D473" s="11" t="s">
        <v>2466</v>
      </c>
      <c r="E473" s="11">
        <v>584.37</v>
      </c>
      <c r="F473" s="11" t="s">
        <v>129</v>
      </c>
      <c r="G473" s="11" t="s">
        <v>2072</v>
      </c>
      <c r="H473" s="9" t="s">
        <v>766</v>
      </c>
      <c r="I473" s="9" t="s">
        <v>767</v>
      </c>
      <c r="J473" s="9" t="s">
        <v>2149</v>
      </c>
    </row>
    <row r="474" spans="1:10">
      <c r="A474" s="8">
        <v>23971</v>
      </c>
      <c r="B474" s="10" t="s">
        <v>729</v>
      </c>
      <c r="C474" s="11" t="s">
        <v>808</v>
      </c>
      <c r="D474" s="11" t="s">
        <v>2935</v>
      </c>
      <c r="E474" s="11">
        <v>1150.67</v>
      </c>
      <c r="F474" s="11" t="s">
        <v>147</v>
      </c>
      <c r="G474" s="11" t="s">
        <v>2094</v>
      </c>
      <c r="H474" s="9" t="s">
        <v>131</v>
      </c>
      <c r="I474" s="9" t="s">
        <v>132</v>
      </c>
      <c r="J474" s="9" t="s">
        <v>2073</v>
      </c>
    </row>
    <row r="475" spans="1:10">
      <c r="A475" s="8">
        <v>4081</v>
      </c>
      <c r="B475" s="10" t="s">
        <v>382</v>
      </c>
      <c r="C475" s="11" t="s">
        <v>811</v>
      </c>
      <c r="D475" s="11" t="s">
        <v>2451</v>
      </c>
      <c r="E475" s="11">
        <v>737.88</v>
      </c>
      <c r="F475" s="11" t="s">
        <v>258</v>
      </c>
      <c r="G475" s="11" t="s">
        <v>2072</v>
      </c>
      <c r="H475" s="9" t="s">
        <v>164</v>
      </c>
      <c r="I475" s="9" t="s">
        <v>165</v>
      </c>
      <c r="J475" s="9" t="s">
        <v>2073</v>
      </c>
    </row>
    <row r="476" spans="1:10">
      <c r="A476" s="8">
        <v>49619</v>
      </c>
      <c r="B476" s="10" t="s">
        <v>1836</v>
      </c>
      <c r="C476" s="11" t="s">
        <v>812</v>
      </c>
      <c r="D476" s="11" t="s">
        <v>2924</v>
      </c>
      <c r="E476" s="11">
        <v>822.96</v>
      </c>
      <c r="F476" s="11" t="s">
        <v>133</v>
      </c>
      <c r="G476" s="11" t="s">
        <v>2072</v>
      </c>
      <c r="H476" s="9" t="s">
        <v>250</v>
      </c>
      <c r="I476" s="9" t="s">
        <v>90</v>
      </c>
      <c r="J476" s="9" t="s">
        <v>2076</v>
      </c>
    </row>
    <row r="477" spans="1:10">
      <c r="A477" s="8">
        <v>58828</v>
      </c>
      <c r="B477" s="10" t="s">
        <v>1837</v>
      </c>
      <c r="C477" s="11" t="s">
        <v>813</v>
      </c>
      <c r="D477" s="11" t="s">
        <v>2936</v>
      </c>
      <c r="E477" s="11">
        <v>822.96</v>
      </c>
      <c r="F477" s="11" t="s">
        <v>133</v>
      </c>
      <c r="G477" s="11" t="s">
        <v>2072</v>
      </c>
      <c r="H477" s="9" t="s">
        <v>814</v>
      </c>
      <c r="I477" s="9" t="s">
        <v>815</v>
      </c>
      <c r="J477" s="9" t="s">
        <v>2160</v>
      </c>
    </row>
    <row r="478" spans="1:10">
      <c r="A478" s="8">
        <v>58471</v>
      </c>
      <c r="B478" s="10" t="s">
        <v>1838</v>
      </c>
      <c r="C478" s="11" t="s">
        <v>816</v>
      </c>
      <c r="D478" s="11" t="s">
        <v>2760</v>
      </c>
      <c r="E478" s="11">
        <v>822.96</v>
      </c>
      <c r="F478" s="11" t="s">
        <v>133</v>
      </c>
      <c r="G478" s="11" t="s">
        <v>2072</v>
      </c>
      <c r="H478" s="9" t="s">
        <v>250</v>
      </c>
      <c r="I478" s="9" t="s">
        <v>90</v>
      </c>
      <c r="J478" s="9" t="s">
        <v>2076</v>
      </c>
    </row>
    <row r="479" spans="1:10">
      <c r="A479" s="8">
        <v>4048</v>
      </c>
      <c r="B479" s="10" t="s">
        <v>1839</v>
      </c>
      <c r="C479" s="11" t="s">
        <v>817</v>
      </c>
      <c r="D479" s="11" t="s">
        <v>2451</v>
      </c>
      <c r="E479" s="11">
        <v>1520.04</v>
      </c>
      <c r="F479" s="11" t="s">
        <v>155</v>
      </c>
      <c r="G479" s="11" t="s">
        <v>2072</v>
      </c>
      <c r="H479" s="9" t="s">
        <v>366</v>
      </c>
      <c r="I479" s="9" t="s">
        <v>367</v>
      </c>
      <c r="J479" s="9" t="s">
        <v>2073</v>
      </c>
    </row>
    <row r="480" spans="1:10">
      <c r="A480" s="8">
        <v>65066</v>
      </c>
      <c r="B480" s="10" t="s">
        <v>1840</v>
      </c>
      <c r="C480" s="11" t="s">
        <v>1291</v>
      </c>
      <c r="D480" s="11" t="s">
        <v>2829</v>
      </c>
      <c r="E480" s="11">
        <v>737.88</v>
      </c>
      <c r="F480" s="11" t="s">
        <v>129</v>
      </c>
      <c r="G480" s="11" t="s">
        <v>2072</v>
      </c>
      <c r="H480" s="9" t="s">
        <v>243</v>
      </c>
      <c r="I480" s="9" t="s">
        <v>244</v>
      </c>
      <c r="J480" s="9" t="s">
        <v>2073</v>
      </c>
    </row>
    <row r="481" spans="1:10">
      <c r="A481" s="8">
        <v>18783</v>
      </c>
      <c r="B481" s="10" t="s">
        <v>1841</v>
      </c>
      <c r="C481" s="11" t="s">
        <v>818</v>
      </c>
      <c r="D481" s="11" t="s">
        <v>2505</v>
      </c>
      <c r="E481" s="11">
        <v>1228.51</v>
      </c>
      <c r="F481" s="11" t="s">
        <v>536</v>
      </c>
      <c r="G481" s="11" t="s">
        <v>2072</v>
      </c>
      <c r="H481" s="9" t="s">
        <v>115</v>
      </c>
      <c r="I481" s="9" t="s">
        <v>116</v>
      </c>
      <c r="J481" s="9" t="s">
        <v>2073</v>
      </c>
    </row>
    <row r="482" spans="1:10">
      <c r="A482" s="8">
        <v>24368</v>
      </c>
      <c r="B482" s="10" t="s">
        <v>1842</v>
      </c>
      <c r="C482" s="11" t="s">
        <v>821</v>
      </c>
      <c r="D482" s="11" t="s">
        <v>2533</v>
      </c>
      <c r="E482" s="11">
        <v>1520.04</v>
      </c>
      <c r="F482" s="11" t="s">
        <v>155</v>
      </c>
      <c r="G482" s="11" t="s">
        <v>2072</v>
      </c>
      <c r="H482" s="9" t="s">
        <v>366</v>
      </c>
      <c r="I482" s="9" t="s">
        <v>367</v>
      </c>
      <c r="J482" s="9" t="s">
        <v>2073</v>
      </c>
    </row>
    <row r="483" spans="1:10">
      <c r="A483" s="8">
        <v>67691</v>
      </c>
      <c r="B483" s="10" t="s">
        <v>2223</v>
      </c>
      <c r="C483" s="11" t="s">
        <v>2190</v>
      </c>
      <c r="D483" s="11" t="s">
        <v>2424</v>
      </c>
      <c r="E483" s="11">
        <v>714.24</v>
      </c>
      <c r="F483" s="11" t="s">
        <v>122</v>
      </c>
      <c r="G483" s="11" t="s">
        <v>2072</v>
      </c>
      <c r="H483" s="9" t="s">
        <v>493</v>
      </c>
      <c r="I483" s="9" t="s">
        <v>494</v>
      </c>
      <c r="J483" s="9" t="s">
        <v>2087</v>
      </c>
    </row>
    <row r="484" spans="1:10">
      <c r="A484" s="8">
        <v>59589</v>
      </c>
      <c r="B484" s="10" t="s">
        <v>1843</v>
      </c>
      <c r="C484" s="11" t="s">
        <v>822</v>
      </c>
      <c r="D484" s="11" t="s">
        <v>2774</v>
      </c>
      <c r="E484" s="11">
        <v>878.5</v>
      </c>
      <c r="F484" s="11" t="s">
        <v>113</v>
      </c>
      <c r="G484" s="11" t="s">
        <v>2074</v>
      </c>
      <c r="H484" s="9" t="s">
        <v>710</v>
      </c>
      <c r="I484" s="9" t="s">
        <v>72</v>
      </c>
      <c r="J484" s="9" t="s">
        <v>2082</v>
      </c>
    </row>
    <row r="485" spans="1:10">
      <c r="A485" s="8">
        <v>65113</v>
      </c>
      <c r="B485" s="10" t="s">
        <v>1844</v>
      </c>
      <c r="C485" s="11" t="s">
        <v>1292</v>
      </c>
      <c r="D485" s="11" t="s">
        <v>2678</v>
      </c>
      <c r="E485" s="11">
        <v>737.88</v>
      </c>
      <c r="F485" s="11" t="s">
        <v>122</v>
      </c>
      <c r="G485" s="11" t="s">
        <v>2072</v>
      </c>
      <c r="H485" s="9" t="s">
        <v>164</v>
      </c>
      <c r="I485" s="9" t="s">
        <v>165</v>
      </c>
      <c r="J485" s="9" t="s">
        <v>2073</v>
      </c>
    </row>
    <row r="486" spans="1:10">
      <c r="A486" s="8">
        <v>63933</v>
      </c>
      <c r="B486" s="10" t="s">
        <v>1845</v>
      </c>
      <c r="C486" s="11" t="s">
        <v>1239</v>
      </c>
      <c r="D486" s="11" t="s">
        <v>2815</v>
      </c>
      <c r="E486" s="11">
        <v>737.88</v>
      </c>
      <c r="F486" s="11" t="s">
        <v>122</v>
      </c>
      <c r="G486" s="11" t="s">
        <v>2072</v>
      </c>
      <c r="H486" s="9" t="s">
        <v>115</v>
      </c>
      <c r="I486" s="9" t="s">
        <v>116</v>
      </c>
      <c r="J486" s="9" t="s">
        <v>2073</v>
      </c>
    </row>
    <row r="487" spans="1:10">
      <c r="A487" s="8">
        <v>51140</v>
      </c>
      <c r="B487" s="10" t="s">
        <v>823</v>
      </c>
      <c r="C487" s="11" t="s">
        <v>824</v>
      </c>
      <c r="D487" s="11" t="s">
        <v>2664</v>
      </c>
      <c r="E487" s="11">
        <v>1520.04</v>
      </c>
      <c r="F487" s="11" t="s">
        <v>155</v>
      </c>
      <c r="G487" s="11" t="s">
        <v>2072</v>
      </c>
      <c r="H487" s="9" t="s">
        <v>115</v>
      </c>
      <c r="I487" s="9" t="s">
        <v>116</v>
      </c>
      <c r="J487" s="9" t="s">
        <v>2073</v>
      </c>
    </row>
    <row r="488" spans="1:10">
      <c r="A488" s="8">
        <v>37570</v>
      </c>
      <c r="B488" s="10" t="s">
        <v>1846</v>
      </c>
      <c r="C488" s="11" t="s">
        <v>825</v>
      </c>
      <c r="D488" s="11" t="s">
        <v>2581</v>
      </c>
      <c r="E488" s="11">
        <v>1835.61</v>
      </c>
      <c r="F488" s="11" t="s">
        <v>475</v>
      </c>
      <c r="G488" s="11" t="s">
        <v>2072</v>
      </c>
      <c r="H488" s="9" t="s">
        <v>115</v>
      </c>
      <c r="I488" s="9" t="s">
        <v>116</v>
      </c>
      <c r="J488" s="9" t="s">
        <v>2073</v>
      </c>
    </row>
    <row r="489" spans="1:10">
      <c r="A489" s="8">
        <v>63455</v>
      </c>
      <c r="B489" s="10" t="s">
        <v>1847</v>
      </c>
      <c r="C489" s="11" t="s">
        <v>1222</v>
      </c>
      <c r="D489" s="11" t="s">
        <v>2937</v>
      </c>
      <c r="E489" s="11">
        <v>178.57</v>
      </c>
      <c r="F489" s="11" t="s">
        <v>129</v>
      </c>
      <c r="G489" s="11" t="s">
        <v>2072</v>
      </c>
      <c r="H489" s="9" t="s">
        <v>1223</v>
      </c>
      <c r="I489" s="9" t="s">
        <v>1224</v>
      </c>
      <c r="J489" s="9" t="s">
        <v>2172</v>
      </c>
    </row>
    <row r="490" spans="1:10">
      <c r="A490" s="8">
        <v>68552</v>
      </c>
      <c r="B490" s="10" t="s">
        <v>2345</v>
      </c>
      <c r="C490" s="11" t="s">
        <v>2346</v>
      </c>
      <c r="D490" s="11" t="s">
        <v>2878</v>
      </c>
      <c r="E490" s="11">
        <v>878.5</v>
      </c>
      <c r="F490" s="11" t="s">
        <v>113</v>
      </c>
      <c r="G490" s="11" t="s">
        <v>2072</v>
      </c>
      <c r="H490" s="9" t="s">
        <v>394</v>
      </c>
      <c r="I490" s="9" t="s">
        <v>395</v>
      </c>
      <c r="J490" s="9" t="s">
        <v>2162</v>
      </c>
    </row>
    <row r="491" spans="1:10">
      <c r="A491" s="8">
        <v>59883</v>
      </c>
      <c r="B491" s="10" t="s">
        <v>1848</v>
      </c>
      <c r="C491" s="11" t="s">
        <v>826</v>
      </c>
      <c r="D491" s="11" t="s">
        <v>2453</v>
      </c>
      <c r="E491" s="11">
        <v>822.96</v>
      </c>
      <c r="F491" s="11" t="s">
        <v>133</v>
      </c>
      <c r="G491" s="11" t="s">
        <v>2072</v>
      </c>
      <c r="H491" s="9" t="s">
        <v>146</v>
      </c>
      <c r="I491" s="9" t="s">
        <v>4</v>
      </c>
      <c r="J491" s="9" t="s">
        <v>2073</v>
      </c>
    </row>
    <row r="492" spans="1:10">
      <c r="A492" s="8">
        <v>52996</v>
      </c>
      <c r="B492" s="10" t="s">
        <v>827</v>
      </c>
      <c r="C492" s="11" t="s">
        <v>828</v>
      </c>
      <c r="D492" s="11" t="s">
        <v>2690</v>
      </c>
      <c r="E492" s="11">
        <v>822.96</v>
      </c>
      <c r="F492" s="11" t="s">
        <v>133</v>
      </c>
      <c r="G492" s="11" t="s">
        <v>2074</v>
      </c>
      <c r="H492" s="9" t="s">
        <v>250</v>
      </c>
      <c r="I492" s="9" t="s">
        <v>90</v>
      </c>
      <c r="J492" s="9" t="s">
        <v>2076</v>
      </c>
    </row>
    <row r="493" spans="1:10">
      <c r="A493" s="8">
        <v>68188</v>
      </c>
      <c r="B493" s="10" t="s">
        <v>2276</v>
      </c>
      <c r="C493" s="11" t="s">
        <v>2277</v>
      </c>
      <c r="D493" s="11" t="s">
        <v>2873</v>
      </c>
      <c r="E493" s="11">
        <v>1520.04</v>
      </c>
      <c r="F493" s="11" t="s">
        <v>155</v>
      </c>
      <c r="G493" s="11" t="s">
        <v>2072</v>
      </c>
      <c r="H493" s="9" t="s">
        <v>153</v>
      </c>
      <c r="I493" s="9" t="s">
        <v>154</v>
      </c>
      <c r="J493" s="9" t="s">
        <v>2073</v>
      </c>
    </row>
    <row r="494" spans="1:10">
      <c r="A494" s="8">
        <v>32776</v>
      </c>
      <c r="B494" s="10" t="s">
        <v>1849</v>
      </c>
      <c r="C494" s="11" t="s">
        <v>829</v>
      </c>
      <c r="D494" s="11" t="s">
        <v>2566</v>
      </c>
      <c r="E494" s="11">
        <v>737.88</v>
      </c>
      <c r="F494" s="11" t="s">
        <v>122</v>
      </c>
      <c r="G494" s="11" t="s">
        <v>2074</v>
      </c>
      <c r="H494" s="9" t="s">
        <v>214</v>
      </c>
      <c r="I494" s="9" t="s">
        <v>215</v>
      </c>
      <c r="J494" s="9" t="s">
        <v>2073</v>
      </c>
    </row>
    <row r="495" spans="1:10">
      <c r="A495" s="8">
        <v>23829</v>
      </c>
      <c r="B495" s="10" t="s">
        <v>1850</v>
      </c>
      <c r="C495" s="11" t="s">
        <v>830</v>
      </c>
      <c r="D495" s="11" t="s">
        <v>2529</v>
      </c>
      <c r="E495" s="11">
        <v>1520.04</v>
      </c>
      <c r="F495" s="11" t="s">
        <v>155</v>
      </c>
      <c r="G495" s="11" t="s">
        <v>2072</v>
      </c>
      <c r="H495" s="9" t="s">
        <v>366</v>
      </c>
      <c r="I495" s="9" t="s">
        <v>367</v>
      </c>
      <c r="J495" s="9" t="s">
        <v>2073</v>
      </c>
    </row>
    <row r="496" spans="1:10">
      <c r="A496" s="8">
        <v>67792</v>
      </c>
      <c r="B496" s="10" t="s">
        <v>2224</v>
      </c>
      <c r="C496" s="11" t="s">
        <v>1214</v>
      </c>
      <c r="D496" s="11" t="s">
        <v>2867</v>
      </c>
      <c r="E496" s="11">
        <v>1093.3699999999999</v>
      </c>
      <c r="F496" s="11" t="s">
        <v>117</v>
      </c>
      <c r="G496" s="11" t="s">
        <v>2072</v>
      </c>
      <c r="H496" s="9" t="s">
        <v>146</v>
      </c>
      <c r="I496" s="9" t="s">
        <v>4</v>
      </c>
      <c r="J496" s="9" t="s">
        <v>2073</v>
      </c>
    </row>
    <row r="497" spans="1:10">
      <c r="A497" s="8">
        <v>56033</v>
      </c>
      <c r="B497" s="10" t="s">
        <v>1469</v>
      </c>
      <c r="C497" s="11" t="s">
        <v>25</v>
      </c>
      <c r="D497" s="11" t="s">
        <v>2413</v>
      </c>
      <c r="E497" s="11">
        <v>2110.38</v>
      </c>
      <c r="F497" s="11" t="s">
        <v>0</v>
      </c>
      <c r="G497" s="11" t="s">
        <v>2072</v>
      </c>
      <c r="H497" s="9" t="s">
        <v>186</v>
      </c>
      <c r="I497" s="9" t="s">
        <v>81</v>
      </c>
      <c r="J497" s="9" t="s">
        <v>2078</v>
      </c>
    </row>
    <row r="498" spans="1:10">
      <c r="A498" s="8">
        <v>44240</v>
      </c>
      <c r="B498" s="10" t="s">
        <v>126</v>
      </c>
      <c r="C498" s="11" t="s">
        <v>831</v>
      </c>
      <c r="D498" s="11" t="s">
        <v>2938</v>
      </c>
      <c r="E498" s="11">
        <v>178.58</v>
      </c>
      <c r="F498" s="11" t="s">
        <v>129</v>
      </c>
      <c r="G498" s="11" t="s">
        <v>2074</v>
      </c>
      <c r="H498" s="9" t="s">
        <v>124</v>
      </c>
      <c r="I498" s="9" t="s">
        <v>125</v>
      </c>
      <c r="J498" s="9" t="s">
        <v>2124</v>
      </c>
    </row>
    <row r="499" spans="1:10">
      <c r="A499" s="8">
        <v>4146</v>
      </c>
      <c r="B499" s="10" t="s">
        <v>832</v>
      </c>
      <c r="C499" s="11" t="s">
        <v>833</v>
      </c>
      <c r="D499" s="11" t="s">
        <v>2451</v>
      </c>
      <c r="E499" s="11">
        <v>1520.04</v>
      </c>
      <c r="F499" s="11" t="s">
        <v>155</v>
      </c>
      <c r="G499" s="11" t="s">
        <v>2072</v>
      </c>
      <c r="H499" s="9" t="s">
        <v>115</v>
      </c>
      <c r="I499" s="9" t="s">
        <v>116</v>
      </c>
      <c r="J499" s="9" t="s">
        <v>2073</v>
      </c>
    </row>
    <row r="500" spans="1:10">
      <c r="A500" s="8">
        <v>67658</v>
      </c>
      <c r="B500" s="10" t="s">
        <v>2225</v>
      </c>
      <c r="C500" s="11" t="s">
        <v>2186</v>
      </c>
      <c r="D500" s="11" t="s">
        <v>2716</v>
      </c>
      <c r="E500" s="11">
        <v>603.73</v>
      </c>
      <c r="F500" s="11" t="s">
        <v>129</v>
      </c>
      <c r="G500" s="11" t="s">
        <v>2072</v>
      </c>
      <c r="H500" s="9" t="s">
        <v>569</v>
      </c>
      <c r="I500" s="9" t="s">
        <v>56</v>
      </c>
      <c r="J500" s="9" t="s">
        <v>2089</v>
      </c>
    </row>
    <row r="501" spans="1:10">
      <c r="A501" s="8">
        <v>67656</v>
      </c>
      <c r="B501" s="10" t="s">
        <v>2226</v>
      </c>
      <c r="C501" s="11" t="s">
        <v>2185</v>
      </c>
      <c r="D501" s="11" t="s">
        <v>2863</v>
      </c>
      <c r="E501" s="11">
        <v>822.96</v>
      </c>
      <c r="F501" s="11" t="s">
        <v>133</v>
      </c>
      <c r="G501" s="11" t="s">
        <v>2072</v>
      </c>
      <c r="H501" s="9" t="s">
        <v>366</v>
      </c>
      <c r="I501" s="9" t="s">
        <v>367</v>
      </c>
      <c r="J501" s="9" t="s">
        <v>2073</v>
      </c>
    </row>
    <row r="502" spans="1:10">
      <c r="A502" s="8">
        <v>47170</v>
      </c>
      <c r="B502" s="10" t="s">
        <v>1851</v>
      </c>
      <c r="C502" s="11" t="s">
        <v>837</v>
      </c>
      <c r="D502" s="11" t="s">
        <v>2626</v>
      </c>
      <c r="E502" s="11">
        <v>737.88</v>
      </c>
      <c r="F502" s="11" t="s">
        <v>122</v>
      </c>
      <c r="G502" s="11" t="s">
        <v>2072</v>
      </c>
      <c r="H502" s="9" t="s">
        <v>326</v>
      </c>
      <c r="I502" s="9" t="s">
        <v>327</v>
      </c>
      <c r="J502" s="9" t="s">
        <v>2079</v>
      </c>
    </row>
    <row r="503" spans="1:10">
      <c r="A503" s="8">
        <v>67137</v>
      </c>
      <c r="B503" s="10" t="s">
        <v>1852</v>
      </c>
      <c r="C503" s="11" t="s">
        <v>1853</v>
      </c>
      <c r="D503" s="11" t="s">
        <v>2852</v>
      </c>
      <c r="E503" s="11">
        <v>357.13</v>
      </c>
      <c r="F503" s="11" t="s">
        <v>129</v>
      </c>
      <c r="G503" s="11" t="s">
        <v>2072</v>
      </c>
      <c r="H503" s="9" t="s">
        <v>1854</v>
      </c>
      <c r="I503" s="9" t="s">
        <v>1855</v>
      </c>
      <c r="J503" s="9" t="s">
        <v>2179</v>
      </c>
    </row>
    <row r="504" spans="1:10">
      <c r="A504" s="8">
        <v>58890</v>
      </c>
      <c r="B504" s="10" t="s">
        <v>1856</v>
      </c>
      <c r="C504" s="11" t="s">
        <v>838</v>
      </c>
      <c r="D504" s="11" t="s">
        <v>2939</v>
      </c>
      <c r="E504" s="11">
        <v>357.13</v>
      </c>
      <c r="F504" s="11" t="s">
        <v>129</v>
      </c>
      <c r="G504" s="11" t="s">
        <v>2074</v>
      </c>
      <c r="H504" s="9" t="s">
        <v>695</v>
      </c>
      <c r="I504" s="9" t="s">
        <v>696</v>
      </c>
      <c r="J504" s="9" t="s">
        <v>2161</v>
      </c>
    </row>
    <row r="505" spans="1:10">
      <c r="A505" s="8">
        <v>35172</v>
      </c>
      <c r="B505" s="10" t="s">
        <v>1857</v>
      </c>
      <c r="C505" s="11" t="s">
        <v>839</v>
      </c>
      <c r="D505" s="11" t="s">
        <v>2575</v>
      </c>
      <c r="E505" s="11">
        <v>1228.51</v>
      </c>
      <c r="F505" s="11" t="s">
        <v>666</v>
      </c>
      <c r="G505" s="11" t="s">
        <v>2072</v>
      </c>
      <c r="H505" s="9" t="s">
        <v>115</v>
      </c>
      <c r="I505" s="9" t="s">
        <v>116</v>
      </c>
      <c r="J505" s="9" t="s">
        <v>2073</v>
      </c>
    </row>
    <row r="506" spans="1:10">
      <c r="A506" s="8">
        <v>46930</v>
      </c>
      <c r="B506" s="10" t="s">
        <v>1858</v>
      </c>
      <c r="C506" s="11" t="s">
        <v>840</v>
      </c>
      <c r="D506" s="11" t="s">
        <v>2624</v>
      </c>
      <c r="E506" s="11">
        <v>1520.04</v>
      </c>
      <c r="F506" s="11" t="s">
        <v>155</v>
      </c>
      <c r="G506" s="11" t="s">
        <v>2072</v>
      </c>
      <c r="H506" s="9" t="s">
        <v>115</v>
      </c>
      <c r="I506" s="9" t="s">
        <v>116</v>
      </c>
      <c r="J506" s="9" t="s">
        <v>2073</v>
      </c>
    </row>
    <row r="507" spans="1:10">
      <c r="A507" s="8">
        <v>51674</v>
      </c>
      <c r="B507" s="10" t="s">
        <v>1859</v>
      </c>
      <c r="C507" s="11" t="s">
        <v>841</v>
      </c>
      <c r="D507" s="11" t="s">
        <v>2671</v>
      </c>
      <c r="E507" s="11">
        <v>955.15</v>
      </c>
      <c r="F507" s="11" t="s">
        <v>113</v>
      </c>
      <c r="G507" s="11" t="s">
        <v>2072</v>
      </c>
      <c r="H507" s="9" t="s">
        <v>326</v>
      </c>
      <c r="I507" s="9" t="s">
        <v>327</v>
      </c>
      <c r="J507" s="9" t="s">
        <v>2079</v>
      </c>
    </row>
    <row r="508" spans="1:10">
      <c r="A508" s="8">
        <v>59614</v>
      </c>
      <c r="B508" s="10" t="s">
        <v>1860</v>
      </c>
      <c r="C508" s="11" t="s">
        <v>842</v>
      </c>
      <c r="D508" s="11" t="s">
        <v>2774</v>
      </c>
      <c r="E508" s="11">
        <v>737.88</v>
      </c>
      <c r="F508" s="11" t="s">
        <v>122</v>
      </c>
      <c r="G508" s="11" t="s">
        <v>2072</v>
      </c>
      <c r="H508" s="9" t="s">
        <v>277</v>
      </c>
      <c r="I508" s="9" t="s">
        <v>53</v>
      </c>
      <c r="J508" s="9" t="s">
        <v>2075</v>
      </c>
    </row>
    <row r="509" spans="1:10">
      <c r="A509" s="8">
        <v>61507</v>
      </c>
      <c r="B509" s="10" t="s">
        <v>1470</v>
      </c>
      <c r="C509" s="11" t="s">
        <v>843</v>
      </c>
      <c r="D509" s="11" t="s">
        <v>2637</v>
      </c>
      <c r="E509" s="11">
        <v>2110.38</v>
      </c>
      <c r="F509" s="11" t="s">
        <v>0</v>
      </c>
      <c r="G509" s="11" t="s">
        <v>2072</v>
      </c>
      <c r="H509" s="9" t="s">
        <v>216</v>
      </c>
      <c r="I509" s="9" t="s">
        <v>217</v>
      </c>
      <c r="J509" s="9" t="s">
        <v>2076</v>
      </c>
    </row>
    <row r="510" spans="1:10">
      <c r="A510" s="8">
        <v>52265</v>
      </c>
      <c r="B510" s="10" t="s">
        <v>1861</v>
      </c>
      <c r="C510" s="11" t="s">
        <v>844</v>
      </c>
      <c r="D510" s="11" t="s">
        <v>2940</v>
      </c>
      <c r="E510" s="11">
        <v>955.15</v>
      </c>
      <c r="F510" s="11" t="s">
        <v>113</v>
      </c>
      <c r="G510" s="11" t="s">
        <v>2072</v>
      </c>
      <c r="H510" s="9" t="s">
        <v>270</v>
      </c>
      <c r="I510" s="9" t="s">
        <v>70</v>
      </c>
      <c r="J510" s="9" t="s">
        <v>2084</v>
      </c>
    </row>
    <row r="511" spans="1:10">
      <c r="A511" s="8">
        <v>67428</v>
      </c>
      <c r="B511" s="10" t="s">
        <v>1471</v>
      </c>
      <c r="C511" s="11" t="s">
        <v>845</v>
      </c>
      <c r="D511" s="11" t="s">
        <v>2765</v>
      </c>
      <c r="E511" s="11">
        <v>2110.38</v>
      </c>
      <c r="F511" s="11" t="s">
        <v>0</v>
      </c>
      <c r="G511" s="11" t="s">
        <v>2072</v>
      </c>
      <c r="H511" s="9" t="s">
        <v>364</v>
      </c>
      <c r="I511" s="9" t="s">
        <v>365</v>
      </c>
      <c r="J511" s="9" t="s">
        <v>2098</v>
      </c>
    </row>
    <row r="512" spans="1:10">
      <c r="A512" s="8">
        <v>30832</v>
      </c>
      <c r="B512" s="10" t="s">
        <v>1862</v>
      </c>
      <c r="C512" s="11" t="s">
        <v>846</v>
      </c>
      <c r="D512" s="11" t="s">
        <v>2941</v>
      </c>
      <c r="E512" s="11">
        <v>955.15</v>
      </c>
      <c r="F512" s="11" t="s">
        <v>113</v>
      </c>
      <c r="G512" s="11" t="s">
        <v>2072</v>
      </c>
      <c r="H512" s="9" t="s">
        <v>326</v>
      </c>
      <c r="I512" s="9" t="s">
        <v>327</v>
      </c>
      <c r="J512" s="9" t="s">
        <v>2079</v>
      </c>
    </row>
    <row r="513" spans="1:10">
      <c r="A513" s="8">
        <v>50765</v>
      </c>
      <c r="B513" s="10" t="s">
        <v>1863</v>
      </c>
      <c r="C513" s="11" t="s">
        <v>847</v>
      </c>
      <c r="D513" s="11" t="s">
        <v>2440</v>
      </c>
      <c r="E513" s="11">
        <v>878.5</v>
      </c>
      <c r="F513" s="11" t="s">
        <v>113</v>
      </c>
      <c r="G513" s="11" t="s">
        <v>2072</v>
      </c>
      <c r="H513" s="9" t="s">
        <v>230</v>
      </c>
      <c r="I513" s="9" t="s">
        <v>82</v>
      </c>
      <c r="J513" s="9" t="s">
        <v>2137</v>
      </c>
    </row>
    <row r="514" spans="1:10">
      <c r="A514" s="8">
        <v>58054</v>
      </c>
      <c r="B514" s="10" t="s">
        <v>1472</v>
      </c>
      <c r="C514" s="11" t="s">
        <v>26</v>
      </c>
      <c r="D514" s="11" t="s">
        <v>2752</v>
      </c>
      <c r="E514" s="11">
        <v>2110.38</v>
      </c>
      <c r="F514" s="11" t="s">
        <v>0</v>
      </c>
      <c r="G514" s="11" t="s">
        <v>2072</v>
      </c>
      <c r="H514" s="9" t="s">
        <v>225</v>
      </c>
      <c r="I514" s="9" t="s">
        <v>226</v>
      </c>
      <c r="J514" s="9" t="s">
        <v>2073</v>
      </c>
    </row>
    <row r="515" spans="1:10">
      <c r="A515" s="8">
        <v>56178</v>
      </c>
      <c r="B515" s="10" t="s">
        <v>1473</v>
      </c>
      <c r="C515" s="11" t="s">
        <v>80</v>
      </c>
      <c r="D515" s="11" t="s">
        <v>2413</v>
      </c>
      <c r="E515" s="11">
        <v>2110.38</v>
      </c>
      <c r="F515" s="11" t="s">
        <v>0</v>
      </c>
      <c r="G515" s="11" t="s">
        <v>2072</v>
      </c>
      <c r="H515" s="9" t="s">
        <v>848</v>
      </c>
      <c r="I515" s="9" t="s">
        <v>849</v>
      </c>
      <c r="J515" s="9" t="s">
        <v>2078</v>
      </c>
    </row>
    <row r="516" spans="1:10">
      <c r="A516" s="8">
        <v>4077</v>
      </c>
      <c r="B516" s="10" t="s">
        <v>1864</v>
      </c>
      <c r="C516" s="11" t="s">
        <v>850</v>
      </c>
      <c r="D516" s="11" t="s">
        <v>2451</v>
      </c>
      <c r="E516" s="11">
        <v>737.88</v>
      </c>
      <c r="F516" s="11" t="s">
        <v>129</v>
      </c>
      <c r="G516" s="11" t="s">
        <v>2072</v>
      </c>
      <c r="H516" s="9" t="s">
        <v>115</v>
      </c>
      <c r="I516" s="9" t="s">
        <v>116</v>
      </c>
      <c r="J516" s="9" t="s">
        <v>2073</v>
      </c>
    </row>
    <row r="517" spans="1:10">
      <c r="A517" s="8">
        <v>38622</v>
      </c>
      <c r="B517" s="10" t="s">
        <v>522</v>
      </c>
      <c r="C517" s="11" t="s">
        <v>851</v>
      </c>
      <c r="D517" s="11" t="s">
        <v>2942</v>
      </c>
      <c r="E517" s="11">
        <v>714.24</v>
      </c>
      <c r="F517" s="11" t="s">
        <v>129</v>
      </c>
      <c r="G517" s="11" t="s">
        <v>2072</v>
      </c>
      <c r="H517" s="9" t="s">
        <v>201</v>
      </c>
      <c r="I517" s="9" t="s">
        <v>202</v>
      </c>
      <c r="J517" s="9" t="s">
        <v>2116</v>
      </c>
    </row>
    <row r="518" spans="1:10">
      <c r="A518" s="8">
        <v>32486</v>
      </c>
      <c r="B518" s="10" t="s">
        <v>1865</v>
      </c>
      <c r="C518" s="11" t="s">
        <v>852</v>
      </c>
      <c r="D518" s="11" t="s">
        <v>2558</v>
      </c>
      <c r="E518" s="11">
        <v>775.26</v>
      </c>
      <c r="F518" s="11" t="s">
        <v>282</v>
      </c>
      <c r="G518" s="11" t="s">
        <v>2072</v>
      </c>
      <c r="H518" s="9" t="s">
        <v>146</v>
      </c>
      <c r="I518" s="9" t="s">
        <v>4</v>
      </c>
      <c r="J518" s="9" t="s">
        <v>2073</v>
      </c>
    </row>
    <row r="519" spans="1:10">
      <c r="A519" s="8">
        <v>32749</v>
      </c>
      <c r="B519" s="10" t="s">
        <v>1866</v>
      </c>
      <c r="C519" s="11" t="s">
        <v>853</v>
      </c>
      <c r="D519" s="11" t="s">
        <v>2565</v>
      </c>
      <c r="E519" s="11">
        <v>737.88</v>
      </c>
      <c r="F519" s="11" t="s">
        <v>129</v>
      </c>
      <c r="G519" s="11" t="s">
        <v>2072</v>
      </c>
      <c r="H519" s="9" t="s">
        <v>115</v>
      </c>
      <c r="I519" s="9" t="s">
        <v>116</v>
      </c>
      <c r="J519" s="9" t="s">
        <v>2073</v>
      </c>
    </row>
    <row r="520" spans="1:10">
      <c r="A520" s="8">
        <v>54143</v>
      </c>
      <c r="B520" s="10" t="s">
        <v>854</v>
      </c>
      <c r="C520" s="11" t="s">
        <v>855</v>
      </c>
      <c r="D520" s="11" t="s">
        <v>2694</v>
      </c>
      <c r="E520" s="11">
        <v>584.38</v>
      </c>
      <c r="F520" s="11" t="s">
        <v>129</v>
      </c>
      <c r="G520" s="11" t="s">
        <v>2072</v>
      </c>
      <c r="H520" s="9" t="s">
        <v>392</v>
      </c>
      <c r="I520" s="9" t="s">
        <v>393</v>
      </c>
      <c r="J520" s="9" t="s">
        <v>2144</v>
      </c>
    </row>
    <row r="521" spans="1:10">
      <c r="A521" s="8">
        <v>64372</v>
      </c>
      <c r="B521" s="10" t="s">
        <v>1477</v>
      </c>
      <c r="C521" s="11" t="s">
        <v>1240</v>
      </c>
      <c r="D521" s="11" t="s">
        <v>2908</v>
      </c>
      <c r="E521" s="11">
        <v>2110.38</v>
      </c>
      <c r="F521" s="11" t="s">
        <v>0</v>
      </c>
      <c r="G521" s="11" t="s">
        <v>2072</v>
      </c>
      <c r="H521" s="9" t="s">
        <v>1241</v>
      </c>
      <c r="I521" s="9" t="s">
        <v>1242</v>
      </c>
      <c r="J521" s="9" t="s">
        <v>2102</v>
      </c>
    </row>
    <row r="522" spans="1:10">
      <c r="A522" s="8">
        <v>60851</v>
      </c>
      <c r="B522" s="10" t="s">
        <v>1867</v>
      </c>
      <c r="C522" s="11" t="s">
        <v>856</v>
      </c>
      <c r="D522" s="11" t="s">
        <v>2790</v>
      </c>
      <c r="E522" s="11">
        <v>737.88</v>
      </c>
      <c r="F522" s="11" t="s">
        <v>129</v>
      </c>
      <c r="G522" s="11" t="s">
        <v>2072</v>
      </c>
      <c r="H522" s="9" t="s">
        <v>178</v>
      </c>
      <c r="I522" s="9" t="s">
        <v>179</v>
      </c>
      <c r="J522" s="9" t="s">
        <v>2073</v>
      </c>
    </row>
    <row r="523" spans="1:10">
      <c r="A523" s="8">
        <v>23370</v>
      </c>
      <c r="B523" s="10" t="s">
        <v>437</v>
      </c>
      <c r="C523" s="11" t="s">
        <v>857</v>
      </c>
      <c r="D523" s="11" t="s">
        <v>2526</v>
      </c>
      <c r="E523" s="11">
        <v>1520.04</v>
      </c>
      <c r="F523" s="11" t="s">
        <v>155</v>
      </c>
      <c r="G523" s="11" t="s">
        <v>2072</v>
      </c>
      <c r="H523" s="9" t="s">
        <v>146</v>
      </c>
      <c r="I523" s="9" t="s">
        <v>4</v>
      </c>
      <c r="J523" s="9" t="s">
        <v>2073</v>
      </c>
    </row>
    <row r="524" spans="1:10">
      <c r="A524" s="8">
        <v>53149</v>
      </c>
      <c r="B524" s="10" t="s">
        <v>1293</v>
      </c>
      <c r="C524" s="11" t="s">
        <v>860</v>
      </c>
      <c r="D524" s="11" t="s">
        <v>2697</v>
      </c>
      <c r="E524" s="11">
        <v>737.88</v>
      </c>
      <c r="F524" s="11" t="s">
        <v>122</v>
      </c>
      <c r="G524" s="11" t="s">
        <v>2072</v>
      </c>
      <c r="H524" s="9" t="s">
        <v>142</v>
      </c>
      <c r="I524" s="9" t="s">
        <v>143</v>
      </c>
      <c r="J524" s="9" t="s">
        <v>2073</v>
      </c>
    </row>
    <row r="525" spans="1:10">
      <c r="A525" s="8">
        <v>64818</v>
      </c>
      <c r="B525" s="10" t="s">
        <v>1868</v>
      </c>
      <c r="C525" s="11" t="s">
        <v>1267</v>
      </c>
      <c r="D525" s="11" t="s">
        <v>2826</v>
      </c>
      <c r="E525" s="11">
        <v>1520.04</v>
      </c>
      <c r="F525" s="11" t="s">
        <v>155</v>
      </c>
      <c r="G525" s="11" t="s">
        <v>2072</v>
      </c>
      <c r="H525" s="9" t="s">
        <v>1205</v>
      </c>
      <c r="I525" s="9" t="s">
        <v>1206</v>
      </c>
      <c r="J525" s="9" t="s">
        <v>2170</v>
      </c>
    </row>
    <row r="526" spans="1:10">
      <c r="A526" s="8">
        <v>62915</v>
      </c>
      <c r="B526" s="10" t="s">
        <v>1869</v>
      </c>
      <c r="C526" s="11" t="s">
        <v>1207</v>
      </c>
      <c r="D526" s="11" t="s">
        <v>2943</v>
      </c>
      <c r="E526" s="11">
        <v>878.5</v>
      </c>
      <c r="F526" s="11" t="s">
        <v>113</v>
      </c>
      <c r="G526" s="11" t="s">
        <v>2072</v>
      </c>
      <c r="H526" s="9" t="s">
        <v>392</v>
      </c>
      <c r="I526" s="9" t="s">
        <v>393</v>
      </c>
      <c r="J526" s="9" t="s">
        <v>2144</v>
      </c>
    </row>
    <row r="527" spans="1:10">
      <c r="A527" s="8">
        <v>60119</v>
      </c>
      <c r="B527" s="10" t="s">
        <v>1870</v>
      </c>
      <c r="C527" s="11" t="s">
        <v>861</v>
      </c>
      <c r="D527" s="11" t="s">
        <v>2453</v>
      </c>
      <c r="E527" s="11">
        <v>368.94</v>
      </c>
      <c r="F527" s="11" t="s">
        <v>129</v>
      </c>
      <c r="G527" s="11" t="s">
        <v>2072</v>
      </c>
      <c r="H527" s="9" t="s">
        <v>250</v>
      </c>
      <c r="I527" s="9" t="s">
        <v>90</v>
      </c>
      <c r="J527" s="9" t="s">
        <v>2076</v>
      </c>
    </row>
    <row r="528" spans="1:10">
      <c r="A528" s="8">
        <v>65456</v>
      </c>
      <c r="B528" s="10" t="s">
        <v>1871</v>
      </c>
      <c r="C528" s="11" t="s">
        <v>1294</v>
      </c>
      <c r="D528" s="11" t="s">
        <v>2421</v>
      </c>
      <c r="E528" s="11">
        <v>714.24</v>
      </c>
      <c r="F528" s="11" t="s">
        <v>122</v>
      </c>
      <c r="G528" s="11" t="s">
        <v>2072</v>
      </c>
      <c r="H528" s="9" t="s">
        <v>493</v>
      </c>
      <c r="I528" s="9" t="s">
        <v>494</v>
      </c>
      <c r="J528" s="9" t="s">
        <v>2087</v>
      </c>
    </row>
    <row r="529" spans="1:10">
      <c r="A529" s="8">
        <v>43951</v>
      </c>
      <c r="B529" s="10" t="s">
        <v>1872</v>
      </c>
      <c r="C529" s="11" t="s">
        <v>863</v>
      </c>
      <c r="D529" s="11" t="s">
        <v>2944</v>
      </c>
      <c r="E529" s="11">
        <v>955.15</v>
      </c>
      <c r="F529" s="11" t="s">
        <v>113</v>
      </c>
      <c r="G529" s="11" t="s">
        <v>2072</v>
      </c>
      <c r="H529" s="9" t="s">
        <v>326</v>
      </c>
      <c r="I529" s="9" t="s">
        <v>327</v>
      </c>
      <c r="J529" s="9" t="s">
        <v>2079</v>
      </c>
    </row>
    <row r="530" spans="1:10">
      <c r="A530" s="8">
        <v>4189</v>
      </c>
      <c r="B530" s="10" t="s">
        <v>1873</v>
      </c>
      <c r="C530" s="11" t="s">
        <v>864</v>
      </c>
      <c r="D530" s="11" t="s">
        <v>2451</v>
      </c>
      <c r="E530" s="11">
        <v>1520.04</v>
      </c>
      <c r="F530" s="11" t="s">
        <v>155</v>
      </c>
      <c r="G530" s="11" t="s">
        <v>2072</v>
      </c>
      <c r="H530" s="9" t="s">
        <v>115</v>
      </c>
      <c r="I530" s="9" t="s">
        <v>116</v>
      </c>
      <c r="J530" s="9" t="s">
        <v>2073</v>
      </c>
    </row>
    <row r="531" spans="1:10">
      <c r="A531" s="8">
        <v>66372</v>
      </c>
      <c r="B531" s="10" t="s">
        <v>1481</v>
      </c>
      <c r="C531" s="11" t="s">
        <v>1325</v>
      </c>
      <c r="D531" s="11" t="s">
        <v>2423</v>
      </c>
      <c r="E531" s="11">
        <v>2110.38</v>
      </c>
      <c r="F531" s="11" t="s">
        <v>0</v>
      </c>
      <c r="G531" s="11" t="s">
        <v>2072</v>
      </c>
      <c r="H531" s="9" t="s">
        <v>306</v>
      </c>
      <c r="I531" s="9" t="s">
        <v>307</v>
      </c>
      <c r="J531" s="9" t="s">
        <v>2073</v>
      </c>
    </row>
    <row r="532" spans="1:10">
      <c r="A532" s="8">
        <v>67766</v>
      </c>
      <c r="B532" s="10" t="s">
        <v>2227</v>
      </c>
      <c r="C532" s="11" t="s">
        <v>2228</v>
      </c>
      <c r="D532" s="11" t="s">
        <v>2945</v>
      </c>
      <c r="E532" s="11">
        <v>2110.38</v>
      </c>
      <c r="F532" s="11" t="s">
        <v>0</v>
      </c>
      <c r="G532" s="11" t="s">
        <v>2072</v>
      </c>
      <c r="H532" s="9" t="s">
        <v>2229</v>
      </c>
      <c r="I532" s="9" t="s">
        <v>2230</v>
      </c>
      <c r="J532" s="9" t="s">
        <v>2166</v>
      </c>
    </row>
    <row r="533" spans="1:10">
      <c r="A533" s="8">
        <v>55003</v>
      </c>
      <c r="B533" s="10" t="s">
        <v>1874</v>
      </c>
      <c r="C533" s="11" t="s">
        <v>865</v>
      </c>
      <c r="D533" s="11" t="s">
        <v>2946</v>
      </c>
      <c r="E533" s="11">
        <v>178.58</v>
      </c>
      <c r="F533" s="11" t="s">
        <v>129</v>
      </c>
      <c r="G533" s="11" t="s">
        <v>2072</v>
      </c>
      <c r="H533" s="9" t="s">
        <v>866</v>
      </c>
      <c r="I533" s="9" t="s">
        <v>867</v>
      </c>
      <c r="J533" s="9" t="s">
        <v>2151</v>
      </c>
    </row>
    <row r="534" spans="1:10">
      <c r="A534" s="8">
        <v>24808</v>
      </c>
      <c r="B534" s="10" t="s">
        <v>868</v>
      </c>
      <c r="C534" s="11" t="s">
        <v>869</v>
      </c>
      <c r="D534" s="11" t="s">
        <v>2534</v>
      </c>
      <c r="E534" s="11">
        <v>714.24</v>
      </c>
      <c r="F534" s="11" t="s">
        <v>129</v>
      </c>
      <c r="G534" s="11" t="s">
        <v>2072</v>
      </c>
      <c r="H534" s="9" t="s">
        <v>870</v>
      </c>
      <c r="I534" s="9" t="s">
        <v>47</v>
      </c>
      <c r="J534" s="9" t="s">
        <v>2098</v>
      </c>
    </row>
    <row r="535" spans="1:10">
      <c r="A535" s="8">
        <v>68289</v>
      </c>
      <c r="B535" s="10" t="s">
        <v>2278</v>
      </c>
      <c r="C535" s="11" t="s">
        <v>2279</v>
      </c>
      <c r="D535" s="11" t="s">
        <v>2874</v>
      </c>
      <c r="E535" s="11">
        <v>723.21</v>
      </c>
      <c r="F535" s="11" t="s">
        <v>122</v>
      </c>
      <c r="G535" s="11" t="s">
        <v>2072</v>
      </c>
      <c r="H535" s="9" t="s">
        <v>220</v>
      </c>
      <c r="I535" s="9" t="s">
        <v>61</v>
      </c>
      <c r="J535" s="9" t="s">
        <v>2093</v>
      </c>
    </row>
    <row r="536" spans="1:10">
      <c r="A536" s="8">
        <v>56058</v>
      </c>
      <c r="B536" s="10" t="s">
        <v>1482</v>
      </c>
      <c r="C536" s="11" t="s">
        <v>27</v>
      </c>
      <c r="D536" s="11" t="s">
        <v>2413</v>
      </c>
      <c r="E536" s="11">
        <v>2110.38</v>
      </c>
      <c r="F536" s="11" t="s">
        <v>0</v>
      </c>
      <c r="G536" s="11" t="s">
        <v>2072</v>
      </c>
      <c r="H536" s="9" t="s">
        <v>306</v>
      </c>
      <c r="I536" s="9" t="s">
        <v>307</v>
      </c>
      <c r="J536" s="9" t="s">
        <v>2073</v>
      </c>
    </row>
    <row r="537" spans="1:10">
      <c r="A537" s="8">
        <v>41545</v>
      </c>
      <c r="B537" s="10" t="s">
        <v>604</v>
      </c>
      <c r="C537" s="11" t="s">
        <v>871</v>
      </c>
      <c r="D537" s="11" t="s">
        <v>2603</v>
      </c>
      <c r="E537" s="11">
        <v>1102.18</v>
      </c>
      <c r="F537" s="11" t="s">
        <v>205</v>
      </c>
      <c r="G537" s="11" t="s">
        <v>2072</v>
      </c>
      <c r="H537" s="9" t="s">
        <v>212</v>
      </c>
      <c r="I537" s="9" t="s">
        <v>213</v>
      </c>
      <c r="J537" s="9" t="s">
        <v>2073</v>
      </c>
    </row>
    <row r="538" spans="1:10">
      <c r="A538" s="8">
        <v>58217</v>
      </c>
      <c r="B538" s="10" t="s">
        <v>1875</v>
      </c>
      <c r="C538" s="11" t="s">
        <v>872</v>
      </c>
      <c r="D538" s="11" t="s">
        <v>2753</v>
      </c>
      <c r="E538" s="11">
        <v>1228.51</v>
      </c>
      <c r="F538" s="11" t="s">
        <v>308</v>
      </c>
      <c r="G538" s="11" t="s">
        <v>2072</v>
      </c>
      <c r="H538" s="9" t="s">
        <v>146</v>
      </c>
      <c r="I538" s="9" t="s">
        <v>4</v>
      </c>
      <c r="J538" s="9" t="s">
        <v>2073</v>
      </c>
    </row>
    <row r="539" spans="1:10">
      <c r="A539" s="8">
        <v>61686</v>
      </c>
      <c r="B539" s="10" t="s">
        <v>1876</v>
      </c>
      <c r="C539" s="11" t="s">
        <v>1186</v>
      </c>
      <c r="D539" s="11" t="s">
        <v>2947</v>
      </c>
      <c r="E539" s="11">
        <v>955.14</v>
      </c>
      <c r="F539" s="11" t="s">
        <v>113</v>
      </c>
      <c r="G539" s="11" t="s">
        <v>2072</v>
      </c>
      <c r="H539" s="9" t="s">
        <v>472</v>
      </c>
      <c r="I539" s="9" t="s">
        <v>473</v>
      </c>
      <c r="J539" s="9" t="s">
        <v>2146</v>
      </c>
    </row>
    <row r="540" spans="1:10">
      <c r="A540" s="8">
        <v>53311</v>
      </c>
      <c r="B540" s="10" t="s">
        <v>1877</v>
      </c>
      <c r="C540" s="11" t="s">
        <v>873</v>
      </c>
      <c r="D540" s="11" t="s">
        <v>2699</v>
      </c>
      <c r="E540" s="11">
        <v>1228.51</v>
      </c>
      <c r="F540" s="11" t="s">
        <v>139</v>
      </c>
      <c r="G540" s="11" t="s">
        <v>2072</v>
      </c>
      <c r="H540" s="9" t="s">
        <v>146</v>
      </c>
      <c r="I540" s="9" t="s">
        <v>4</v>
      </c>
      <c r="J540" s="9" t="s">
        <v>2073</v>
      </c>
    </row>
    <row r="541" spans="1:10">
      <c r="A541" s="8">
        <v>50768</v>
      </c>
      <c r="B541" s="10" t="s">
        <v>874</v>
      </c>
      <c r="C541" s="11" t="s">
        <v>875</v>
      </c>
      <c r="D541" s="11" t="s">
        <v>2440</v>
      </c>
      <c r="E541" s="11">
        <v>878.5</v>
      </c>
      <c r="F541" s="11" t="s">
        <v>113</v>
      </c>
      <c r="G541" s="11" t="s">
        <v>2072</v>
      </c>
      <c r="H541" s="9" t="s">
        <v>230</v>
      </c>
      <c r="I541" s="9" t="s">
        <v>82</v>
      </c>
      <c r="J541" s="9" t="s">
        <v>2137</v>
      </c>
    </row>
    <row r="542" spans="1:10">
      <c r="A542" s="8">
        <v>37532</v>
      </c>
      <c r="B542" s="10" t="s">
        <v>1878</v>
      </c>
      <c r="C542" s="11" t="s">
        <v>876</v>
      </c>
      <c r="D542" s="11" t="s">
        <v>2583</v>
      </c>
      <c r="E542" s="11">
        <v>1228.51</v>
      </c>
      <c r="F542" s="11" t="s">
        <v>308</v>
      </c>
      <c r="G542" s="11" t="s">
        <v>2072</v>
      </c>
      <c r="H542" s="9" t="s">
        <v>115</v>
      </c>
      <c r="I542" s="9" t="s">
        <v>116</v>
      </c>
      <c r="J542" s="9" t="s">
        <v>2073</v>
      </c>
    </row>
    <row r="543" spans="1:10">
      <c r="A543" s="8">
        <v>65470</v>
      </c>
      <c r="B543" s="10" t="s">
        <v>1483</v>
      </c>
      <c r="C543" s="11" t="s">
        <v>1295</v>
      </c>
      <c r="D543" s="11" t="s">
        <v>2948</v>
      </c>
      <c r="E543" s="11">
        <v>2110.38</v>
      </c>
      <c r="F543" s="11" t="s">
        <v>0</v>
      </c>
      <c r="G543" s="11" t="s">
        <v>2072</v>
      </c>
      <c r="H543" s="9" t="s">
        <v>738</v>
      </c>
      <c r="I543" s="9" t="s">
        <v>739</v>
      </c>
      <c r="J543" s="9" t="s">
        <v>2137</v>
      </c>
    </row>
    <row r="544" spans="1:10">
      <c r="A544" s="8">
        <v>53567</v>
      </c>
      <c r="B544" s="10" t="s">
        <v>1879</v>
      </c>
      <c r="C544" s="11" t="s">
        <v>877</v>
      </c>
      <c r="D544" s="11" t="s">
        <v>2700</v>
      </c>
      <c r="E544" s="11">
        <v>1228.51</v>
      </c>
      <c r="F544" s="11" t="s">
        <v>308</v>
      </c>
      <c r="G544" s="11" t="s">
        <v>2072</v>
      </c>
      <c r="H544" s="9" t="s">
        <v>146</v>
      </c>
      <c r="I544" s="9" t="s">
        <v>4</v>
      </c>
      <c r="J544" s="9" t="s">
        <v>2073</v>
      </c>
    </row>
    <row r="545" spans="1:10">
      <c r="A545" s="8">
        <v>60567</v>
      </c>
      <c r="B545" s="10" t="s">
        <v>1880</v>
      </c>
      <c r="C545" s="11" t="s">
        <v>878</v>
      </c>
      <c r="D545" s="11" t="s">
        <v>2787</v>
      </c>
      <c r="E545" s="11">
        <v>955.14</v>
      </c>
      <c r="F545" s="11" t="s">
        <v>113</v>
      </c>
      <c r="G545" s="11" t="s">
        <v>2072</v>
      </c>
      <c r="H545" s="9" t="s">
        <v>178</v>
      </c>
      <c r="I545" s="9" t="s">
        <v>179</v>
      </c>
      <c r="J545" s="9" t="s">
        <v>2073</v>
      </c>
    </row>
    <row r="546" spans="1:10">
      <c r="A546" s="8">
        <v>65795</v>
      </c>
      <c r="B546" s="10" t="s">
        <v>1881</v>
      </c>
      <c r="C546" s="11" t="s">
        <v>1317</v>
      </c>
      <c r="D546" s="11" t="s">
        <v>2837</v>
      </c>
      <c r="E546" s="11">
        <v>737.88</v>
      </c>
      <c r="F546" s="11" t="s">
        <v>122</v>
      </c>
      <c r="G546" s="11" t="s">
        <v>2072</v>
      </c>
      <c r="H546" s="9" t="s">
        <v>214</v>
      </c>
      <c r="I546" s="9" t="s">
        <v>215</v>
      </c>
      <c r="J546" s="9" t="s">
        <v>2073</v>
      </c>
    </row>
    <row r="547" spans="1:10">
      <c r="A547" s="8">
        <v>56092</v>
      </c>
      <c r="B547" s="10" t="s">
        <v>880</v>
      </c>
      <c r="C547" s="11" t="s">
        <v>68</v>
      </c>
      <c r="D547" s="11" t="s">
        <v>2413</v>
      </c>
      <c r="E547" s="11">
        <v>2110.38</v>
      </c>
      <c r="F547" s="11" t="s">
        <v>0</v>
      </c>
      <c r="G547" s="11" t="s">
        <v>2072</v>
      </c>
      <c r="H547" s="9" t="s">
        <v>441</v>
      </c>
      <c r="I547" s="9" t="s">
        <v>442</v>
      </c>
      <c r="J547" s="9" t="s">
        <v>2088</v>
      </c>
    </row>
    <row r="548" spans="1:10">
      <c r="A548" s="8">
        <v>20149</v>
      </c>
      <c r="B548" s="10" t="s">
        <v>650</v>
      </c>
      <c r="C548" s="11" t="s">
        <v>881</v>
      </c>
      <c r="D548" s="11" t="s">
        <v>2509</v>
      </c>
      <c r="E548" s="11">
        <v>1093.3699999999999</v>
      </c>
      <c r="F548" s="11" t="s">
        <v>117</v>
      </c>
      <c r="G548" s="11" t="s">
        <v>2072</v>
      </c>
      <c r="H548" s="9" t="s">
        <v>115</v>
      </c>
      <c r="I548" s="9" t="s">
        <v>116</v>
      </c>
      <c r="J548" s="9" t="s">
        <v>2073</v>
      </c>
    </row>
    <row r="549" spans="1:10">
      <c r="A549" s="8">
        <v>53549</v>
      </c>
      <c r="B549" s="10" t="s">
        <v>1882</v>
      </c>
      <c r="C549" s="11" t="s">
        <v>882</v>
      </c>
      <c r="D549" s="11" t="s">
        <v>2449</v>
      </c>
      <c r="E549" s="11">
        <v>737.88</v>
      </c>
      <c r="F549" s="11" t="s">
        <v>129</v>
      </c>
      <c r="G549" s="11" t="s">
        <v>2085</v>
      </c>
      <c r="H549" s="9" t="s">
        <v>211</v>
      </c>
      <c r="I549" s="9" t="s">
        <v>93</v>
      </c>
      <c r="J549" s="9" t="s">
        <v>2080</v>
      </c>
    </row>
    <row r="550" spans="1:10">
      <c r="A550" s="8">
        <v>52841</v>
      </c>
      <c r="B550" s="10" t="s">
        <v>1883</v>
      </c>
      <c r="C550" s="11" t="s">
        <v>883</v>
      </c>
      <c r="D550" s="11" t="s">
        <v>2684</v>
      </c>
      <c r="E550" s="11">
        <v>714.24</v>
      </c>
      <c r="F550" s="11" t="s">
        <v>129</v>
      </c>
      <c r="G550" s="11" t="s">
        <v>2072</v>
      </c>
      <c r="H550" s="9" t="s">
        <v>493</v>
      </c>
      <c r="I550" s="9" t="s">
        <v>494</v>
      </c>
      <c r="J550" s="9" t="s">
        <v>2087</v>
      </c>
    </row>
    <row r="551" spans="1:10">
      <c r="A551" s="8">
        <v>51529</v>
      </c>
      <c r="B551" s="10" t="s">
        <v>885</v>
      </c>
      <c r="C551" s="11" t="s">
        <v>886</v>
      </c>
      <c r="D551" s="11" t="s">
        <v>2666</v>
      </c>
      <c r="E551" s="11">
        <v>178.57</v>
      </c>
      <c r="F551" s="11" t="s">
        <v>129</v>
      </c>
      <c r="G551" s="11" t="s">
        <v>2081</v>
      </c>
      <c r="H551" s="9" t="s">
        <v>887</v>
      </c>
      <c r="I551" s="9" t="s">
        <v>888</v>
      </c>
      <c r="J551" s="9" t="s">
        <v>2138</v>
      </c>
    </row>
    <row r="552" spans="1:10">
      <c r="A552" s="8">
        <v>58949</v>
      </c>
      <c r="B552" s="10" t="s">
        <v>1884</v>
      </c>
      <c r="C552" s="11" t="s">
        <v>889</v>
      </c>
      <c r="D552" s="11" t="s">
        <v>2764</v>
      </c>
      <c r="E552" s="11">
        <v>737.88</v>
      </c>
      <c r="F552" s="11" t="s">
        <v>129</v>
      </c>
      <c r="G552" s="11" t="s">
        <v>2072</v>
      </c>
      <c r="H552" s="9" t="s">
        <v>212</v>
      </c>
      <c r="I552" s="9" t="s">
        <v>213</v>
      </c>
      <c r="J552" s="9" t="s">
        <v>2073</v>
      </c>
    </row>
    <row r="553" spans="1:10">
      <c r="A553" s="8">
        <v>52042</v>
      </c>
      <c r="B553" s="10" t="s">
        <v>891</v>
      </c>
      <c r="C553" s="11" t="s">
        <v>890</v>
      </c>
      <c r="D553" s="11" t="s">
        <v>2525</v>
      </c>
      <c r="E553" s="11">
        <v>737.88</v>
      </c>
      <c r="F553" s="11" t="s">
        <v>122</v>
      </c>
      <c r="G553" s="11" t="s">
        <v>2072</v>
      </c>
      <c r="H553" s="9" t="s">
        <v>186</v>
      </c>
      <c r="I553" s="9" t="s">
        <v>81</v>
      </c>
      <c r="J553" s="9" t="s">
        <v>2078</v>
      </c>
    </row>
    <row r="554" spans="1:10">
      <c r="A554" s="8">
        <v>4184</v>
      </c>
      <c r="B554" s="10" t="s">
        <v>1885</v>
      </c>
      <c r="C554" s="11" t="s">
        <v>893</v>
      </c>
      <c r="D554" s="11" t="s">
        <v>2451</v>
      </c>
      <c r="E554" s="11">
        <v>737.88</v>
      </c>
      <c r="F554" s="11" t="s">
        <v>129</v>
      </c>
      <c r="G554" s="11" t="s">
        <v>2072</v>
      </c>
      <c r="H554" s="9" t="s">
        <v>115</v>
      </c>
      <c r="I554" s="9" t="s">
        <v>116</v>
      </c>
      <c r="J554" s="9" t="s">
        <v>2073</v>
      </c>
    </row>
    <row r="555" spans="1:10">
      <c r="A555" s="8">
        <v>35423</v>
      </c>
      <c r="B555" s="10" t="s">
        <v>894</v>
      </c>
      <c r="C555" s="11" t="s">
        <v>893</v>
      </c>
      <c r="D555" s="11" t="s">
        <v>2949</v>
      </c>
      <c r="E555" s="11">
        <v>714.24</v>
      </c>
      <c r="F555" s="11" t="s">
        <v>129</v>
      </c>
      <c r="G555" s="11" t="s">
        <v>2081</v>
      </c>
      <c r="H555" s="9" t="s">
        <v>858</v>
      </c>
      <c r="I555" s="9" t="s">
        <v>859</v>
      </c>
      <c r="J555" s="9" t="s">
        <v>2106</v>
      </c>
    </row>
    <row r="556" spans="1:10">
      <c r="A556" s="8">
        <v>56322</v>
      </c>
      <c r="B556" s="10" t="s">
        <v>1352</v>
      </c>
      <c r="C556" s="11" t="s">
        <v>895</v>
      </c>
      <c r="D556" s="11" t="s">
        <v>2577</v>
      </c>
      <c r="E556" s="11">
        <v>178.57</v>
      </c>
      <c r="F556" s="11" t="s">
        <v>129</v>
      </c>
      <c r="G556" s="11" t="s">
        <v>2074</v>
      </c>
      <c r="H556" s="9" t="s">
        <v>887</v>
      </c>
      <c r="I556" s="9" t="s">
        <v>888</v>
      </c>
      <c r="J556" s="9" t="s">
        <v>2138</v>
      </c>
    </row>
    <row r="557" spans="1:10">
      <c r="A557" s="8">
        <v>654</v>
      </c>
      <c r="B557" s="10" t="s">
        <v>1886</v>
      </c>
      <c r="C557" s="11" t="s">
        <v>896</v>
      </c>
      <c r="D557" s="11" t="s">
        <v>2441</v>
      </c>
      <c r="E557" s="11">
        <v>737.88</v>
      </c>
      <c r="F557" s="11" t="s">
        <v>129</v>
      </c>
      <c r="G557" s="11" t="s">
        <v>2072</v>
      </c>
      <c r="H557" s="9" t="s">
        <v>164</v>
      </c>
      <c r="I557" s="9" t="s">
        <v>165</v>
      </c>
      <c r="J557" s="9" t="s">
        <v>2073</v>
      </c>
    </row>
    <row r="558" spans="1:10">
      <c r="A558" s="8">
        <v>68066</v>
      </c>
      <c r="B558" s="10" t="s">
        <v>2280</v>
      </c>
      <c r="C558" s="11" t="s">
        <v>2281</v>
      </c>
      <c r="D558" s="11" t="s">
        <v>2409</v>
      </c>
      <c r="E558" s="11">
        <v>737.88</v>
      </c>
      <c r="F558" s="11" t="s">
        <v>129</v>
      </c>
      <c r="G558" s="11" t="s">
        <v>2072</v>
      </c>
      <c r="H558" s="9" t="s">
        <v>277</v>
      </c>
      <c r="I558" s="9" t="s">
        <v>53</v>
      </c>
      <c r="J558" s="9" t="s">
        <v>2075</v>
      </c>
    </row>
    <row r="559" spans="1:10">
      <c r="A559" s="8">
        <v>53897</v>
      </c>
      <c r="B559" s="10" t="s">
        <v>1887</v>
      </c>
      <c r="C559" s="11" t="s">
        <v>897</v>
      </c>
      <c r="D559" s="11" t="s">
        <v>2704</v>
      </c>
      <c r="E559" s="11">
        <v>737.88</v>
      </c>
      <c r="F559" s="11" t="s">
        <v>258</v>
      </c>
      <c r="G559" s="11" t="s">
        <v>2072</v>
      </c>
      <c r="H559" s="9" t="s">
        <v>115</v>
      </c>
      <c r="I559" s="9" t="s">
        <v>116</v>
      </c>
      <c r="J559" s="9" t="s">
        <v>2073</v>
      </c>
    </row>
    <row r="560" spans="1:10">
      <c r="A560" s="8">
        <v>49778</v>
      </c>
      <c r="B560" s="10" t="s">
        <v>1888</v>
      </c>
      <c r="C560" s="11" t="s">
        <v>900</v>
      </c>
      <c r="D560" s="11" t="s">
        <v>2950</v>
      </c>
      <c r="E560" s="11">
        <v>357.13</v>
      </c>
      <c r="F560" s="11" t="s">
        <v>129</v>
      </c>
      <c r="G560" s="11" t="s">
        <v>2072</v>
      </c>
      <c r="H560" s="9" t="s">
        <v>448</v>
      </c>
      <c r="I560" s="9" t="s">
        <v>449</v>
      </c>
      <c r="J560" s="9" t="s">
        <v>2134</v>
      </c>
    </row>
    <row r="561" spans="1:10">
      <c r="A561" s="8">
        <v>16402</v>
      </c>
      <c r="B561" s="10" t="s">
        <v>1889</v>
      </c>
      <c r="C561" s="11" t="s">
        <v>901</v>
      </c>
      <c r="D561" s="11" t="s">
        <v>2499</v>
      </c>
      <c r="E561" s="11">
        <v>737.88</v>
      </c>
      <c r="F561" s="11" t="s">
        <v>258</v>
      </c>
      <c r="G561" s="11" t="s">
        <v>2072</v>
      </c>
      <c r="H561" s="9" t="s">
        <v>153</v>
      </c>
      <c r="I561" s="9" t="s">
        <v>154</v>
      </c>
      <c r="J561" s="9" t="s">
        <v>2073</v>
      </c>
    </row>
    <row r="562" spans="1:10">
      <c r="A562" s="8">
        <v>55880</v>
      </c>
      <c r="B562" s="10" t="s">
        <v>1890</v>
      </c>
      <c r="C562" s="11" t="s">
        <v>902</v>
      </c>
      <c r="D562" s="11" t="s">
        <v>2735</v>
      </c>
      <c r="E562" s="11">
        <v>737.88</v>
      </c>
      <c r="F562" s="11" t="s">
        <v>129</v>
      </c>
      <c r="G562" s="11" t="s">
        <v>2072</v>
      </c>
      <c r="H562" s="9" t="s">
        <v>472</v>
      </c>
      <c r="I562" s="9" t="s">
        <v>473</v>
      </c>
      <c r="J562" s="9" t="s">
        <v>2146</v>
      </c>
    </row>
    <row r="563" spans="1:10">
      <c r="A563" s="8">
        <v>46943</v>
      </c>
      <c r="B563" s="10" t="s">
        <v>1891</v>
      </c>
      <c r="C563" s="11" t="s">
        <v>905</v>
      </c>
      <c r="D563" s="11" t="s">
        <v>2624</v>
      </c>
      <c r="E563" s="11">
        <v>1520.04</v>
      </c>
      <c r="F563" s="11" t="s">
        <v>155</v>
      </c>
      <c r="G563" s="11" t="s">
        <v>2072</v>
      </c>
      <c r="H563" s="9" t="s">
        <v>248</v>
      </c>
      <c r="I563" s="9" t="s">
        <v>249</v>
      </c>
      <c r="J563" s="9" t="s">
        <v>2073</v>
      </c>
    </row>
    <row r="564" spans="1:10">
      <c r="A564" s="8">
        <v>68782</v>
      </c>
      <c r="B564" s="10" t="s">
        <v>2347</v>
      </c>
      <c r="C564" s="11" t="s">
        <v>2348</v>
      </c>
      <c r="D564" s="11" t="s">
        <v>2452</v>
      </c>
      <c r="E564" s="11">
        <v>357.13</v>
      </c>
      <c r="F564" s="11" t="s">
        <v>129</v>
      </c>
      <c r="G564" s="11" t="s">
        <v>2085</v>
      </c>
      <c r="H564" s="9" t="s">
        <v>695</v>
      </c>
      <c r="I564" s="9" t="s">
        <v>696</v>
      </c>
      <c r="J564" s="9" t="s">
        <v>2161</v>
      </c>
    </row>
    <row r="565" spans="1:10">
      <c r="A565" s="8">
        <v>51888</v>
      </c>
      <c r="B565" s="10" t="s">
        <v>904</v>
      </c>
      <c r="C565" s="11" t="s">
        <v>906</v>
      </c>
      <c r="D565" s="11" t="s">
        <v>2676</v>
      </c>
      <c r="E565" s="11">
        <v>714.24</v>
      </c>
      <c r="F565" s="11" t="s">
        <v>129</v>
      </c>
      <c r="G565" s="11" t="s">
        <v>2072</v>
      </c>
      <c r="H565" s="9" t="s">
        <v>903</v>
      </c>
      <c r="I565" s="9" t="s">
        <v>88</v>
      </c>
      <c r="J565" s="9" t="s">
        <v>2140</v>
      </c>
    </row>
    <row r="566" spans="1:10">
      <c r="A566" s="8">
        <v>4163</v>
      </c>
      <c r="B566" s="10" t="s">
        <v>1892</v>
      </c>
      <c r="C566" s="11" t="s">
        <v>907</v>
      </c>
      <c r="D566" s="11" t="s">
        <v>2451</v>
      </c>
      <c r="E566" s="11">
        <v>737.88</v>
      </c>
      <c r="F566" s="11" t="s">
        <v>258</v>
      </c>
      <c r="G566" s="11" t="s">
        <v>2074</v>
      </c>
      <c r="H566" s="9" t="s">
        <v>248</v>
      </c>
      <c r="I566" s="9" t="s">
        <v>249</v>
      </c>
      <c r="J566" s="9" t="s">
        <v>2073</v>
      </c>
    </row>
    <row r="567" spans="1:10">
      <c r="A567" s="8">
        <v>56897</v>
      </c>
      <c r="B567" s="10" t="s">
        <v>908</v>
      </c>
      <c r="C567" s="11" t="s">
        <v>909</v>
      </c>
      <c r="D567" s="11" t="s">
        <v>2447</v>
      </c>
      <c r="E567" s="11">
        <v>584.38</v>
      </c>
      <c r="F567" s="11" t="s">
        <v>129</v>
      </c>
      <c r="G567" s="11" t="s">
        <v>2072</v>
      </c>
      <c r="H567" s="9" t="s">
        <v>181</v>
      </c>
      <c r="I567" s="9" t="s">
        <v>182</v>
      </c>
      <c r="J567" s="9" t="s">
        <v>2109</v>
      </c>
    </row>
    <row r="568" spans="1:10">
      <c r="A568" s="8">
        <v>34779</v>
      </c>
      <c r="B568" s="10" t="s">
        <v>1893</v>
      </c>
      <c r="C568" s="11" t="s">
        <v>910</v>
      </c>
      <c r="D568" s="11" t="s">
        <v>2573</v>
      </c>
      <c r="E568" s="11">
        <v>368.97</v>
      </c>
      <c r="F568" s="11" t="s">
        <v>129</v>
      </c>
      <c r="G568" s="11" t="s">
        <v>2072</v>
      </c>
      <c r="H568" s="9" t="s">
        <v>243</v>
      </c>
      <c r="I568" s="9" t="s">
        <v>244</v>
      </c>
      <c r="J568" s="9" t="s">
        <v>2073</v>
      </c>
    </row>
    <row r="569" spans="1:10">
      <c r="A569" s="8">
        <v>64388</v>
      </c>
      <c r="B569" s="10" t="s">
        <v>1894</v>
      </c>
      <c r="C569" s="11" t="s">
        <v>1243</v>
      </c>
      <c r="D569" s="11" t="s">
        <v>2823</v>
      </c>
      <c r="E569" s="11">
        <v>402.48</v>
      </c>
      <c r="F569" s="11" t="s">
        <v>129</v>
      </c>
      <c r="G569" s="11" t="s">
        <v>2072</v>
      </c>
      <c r="H569" s="9" t="s">
        <v>115</v>
      </c>
      <c r="I569" s="9" t="s">
        <v>116</v>
      </c>
      <c r="J569" s="9" t="s">
        <v>2073</v>
      </c>
    </row>
    <row r="570" spans="1:10">
      <c r="A570" s="8">
        <v>29274</v>
      </c>
      <c r="B570" s="10" t="s">
        <v>1895</v>
      </c>
      <c r="C570" s="11" t="s">
        <v>911</v>
      </c>
      <c r="D570" s="11" t="s">
        <v>2951</v>
      </c>
      <c r="E570" s="11">
        <v>737.88</v>
      </c>
      <c r="F570" s="11" t="s">
        <v>129</v>
      </c>
      <c r="G570" s="11" t="s">
        <v>2081</v>
      </c>
      <c r="H570" s="9" t="s">
        <v>115</v>
      </c>
      <c r="I570" s="9" t="s">
        <v>116</v>
      </c>
      <c r="J570" s="9" t="s">
        <v>2073</v>
      </c>
    </row>
    <row r="571" spans="1:10">
      <c r="A571" s="8">
        <v>28385</v>
      </c>
      <c r="B571" s="10" t="s">
        <v>912</v>
      </c>
      <c r="C571" s="11" t="s">
        <v>913</v>
      </c>
      <c r="D571" s="11" t="s">
        <v>2538</v>
      </c>
      <c r="E571" s="11">
        <v>714.24</v>
      </c>
      <c r="F571" s="11" t="s">
        <v>129</v>
      </c>
      <c r="G571" s="11" t="s">
        <v>2072</v>
      </c>
      <c r="H571" s="9" t="s">
        <v>454</v>
      </c>
      <c r="I571" s="9" t="s">
        <v>51</v>
      </c>
      <c r="J571" s="9" t="s">
        <v>2097</v>
      </c>
    </row>
    <row r="572" spans="1:10">
      <c r="A572" s="8">
        <v>59736</v>
      </c>
      <c r="B572" s="10" t="s">
        <v>1296</v>
      </c>
      <c r="C572" s="11" t="s">
        <v>914</v>
      </c>
      <c r="D572" s="11" t="s">
        <v>2774</v>
      </c>
      <c r="E572" s="11">
        <v>603.73</v>
      </c>
      <c r="F572" s="11" t="s">
        <v>129</v>
      </c>
      <c r="G572" s="11" t="s">
        <v>2081</v>
      </c>
      <c r="H572" s="9" t="s">
        <v>569</v>
      </c>
      <c r="I572" s="9" t="s">
        <v>56</v>
      </c>
      <c r="J572" s="9" t="s">
        <v>2089</v>
      </c>
    </row>
    <row r="573" spans="1:10">
      <c r="A573" s="8">
        <v>66384</v>
      </c>
      <c r="B573" s="10" t="s">
        <v>1896</v>
      </c>
      <c r="C573" s="11" t="s">
        <v>1268</v>
      </c>
      <c r="D573" s="11" t="s">
        <v>2423</v>
      </c>
      <c r="E573" s="11">
        <v>737.88</v>
      </c>
      <c r="F573" s="11" t="s">
        <v>129</v>
      </c>
      <c r="G573" s="11" t="s">
        <v>2072</v>
      </c>
      <c r="H573" s="9" t="s">
        <v>366</v>
      </c>
      <c r="I573" s="9" t="s">
        <v>367</v>
      </c>
      <c r="J573" s="9" t="s">
        <v>2073</v>
      </c>
    </row>
    <row r="574" spans="1:10">
      <c r="A574" s="8">
        <v>60451</v>
      </c>
      <c r="B574" s="10" t="s">
        <v>676</v>
      </c>
      <c r="C574" s="11" t="s">
        <v>915</v>
      </c>
      <c r="D574" s="11" t="s">
        <v>2786</v>
      </c>
      <c r="E574" s="11">
        <v>808.05</v>
      </c>
      <c r="F574" s="11" t="s">
        <v>166</v>
      </c>
      <c r="G574" s="11" t="s">
        <v>2072</v>
      </c>
      <c r="H574" s="9" t="s">
        <v>115</v>
      </c>
      <c r="I574" s="9" t="s">
        <v>116</v>
      </c>
      <c r="J574" s="9" t="s">
        <v>2073</v>
      </c>
    </row>
    <row r="575" spans="1:10">
      <c r="A575" s="8">
        <v>29743</v>
      </c>
      <c r="B575" s="10" t="s">
        <v>1897</v>
      </c>
      <c r="C575" s="11" t="s">
        <v>916</v>
      </c>
      <c r="D575" s="11" t="s">
        <v>2546</v>
      </c>
      <c r="E575" s="11">
        <v>822.96</v>
      </c>
      <c r="F575" s="11" t="s">
        <v>133</v>
      </c>
      <c r="G575" s="11" t="s">
        <v>2072</v>
      </c>
      <c r="H575" s="9" t="s">
        <v>115</v>
      </c>
      <c r="I575" s="9" t="s">
        <v>116</v>
      </c>
      <c r="J575" s="9" t="s">
        <v>2073</v>
      </c>
    </row>
    <row r="576" spans="1:10">
      <c r="A576" s="8">
        <v>2826</v>
      </c>
      <c r="B576" s="10" t="s">
        <v>1898</v>
      </c>
      <c r="C576" s="11" t="s">
        <v>917</v>
      </c>
      <c r="D576" s="11" t="s">
        <v>2446</v>
      </c>
      <c r="E576" s="11">
        <v>775.26</v>
      </c>
      <c r="F576" s="11" t="s">
        <v>282</v>
      </c>
      <c r="G576" s="11" t="s">
        <v>2072</v>
      </c>
      <c r="H576" s="9" t="s">
        <v>146</v>
      </c>
      <c r="I576" s="9" t="s">
        <v>4</v>
      </c>
      <c r="J576" s="9" t="s">
        <v>2073</v>
      </c>
    </row>
    <row r="577" spans="1:10">
      <c r="A577" s="8">
        <v>54252</v>
      </c>
      <c r="B577" s="10" t="s">
        <v>1297</v>
      </c>
      <c r="C577" s="11" t="s">
        <v>918</v>
      </c>
      <c r="D577" s="11" t="s">
        <v>2709</v>
      </c>
      <c r="E577" s="11">
        <v>178.57</v>
      </c>
      <c r="F577" s="11" t="s">
        <v>129</v>
      </c>
      <c r="G577" s="11" t="s">
        <v>2072</v>
      </c>
      <c r="H577" s="9" t="s">
        <v>919</v>
      </c>
      <c r="I577" s="9" t="s">
        <v>920</v>
      </c>
      <c r="J577" s="9" t="s">
        <v>2147</v>
      </c>
    </row>
    <row r="578" spans="1:10">
      <c r="A578" s="8">
        <v>21631</v>
      </c>
      <c r="B578" s="10" t="s">
        <v>1899</v>
      </c>
      <c r="C578" s="11" t="s">
        <v>921</v>
      </c>
      <c r="D578" s="11" t="s">
        <v>2513</v>
      </c>
      <c r="E578" s="11">
        <v>1520.04</v>
      </c>
      <c r="F578" s="11" t="s">
        <v>155</v>
      </c>
      <c r="G578" s="11" t="s">
        <v>2072</v>
      </c>
      <c r="H578" s="9" t="s">
        <v>366</v>
      </c>
      <c r="I578" s="9" t="s">
        <v>367</v>
      </c>
      <c r="J578" s="9" t="s">
        <v>2073</v>
      </c>
    </row>
    <row r="579" spans="1:10">
      <c r="A579" s="8">
        <v>53268</v>
      </c>
      <c r="B579" s="10" t="s">
        <v>1900</v>
      </c>
      <c r="C579" s="11" t="s">
        <v>922</v>
      </c>
      <c r="D579" s="11" t="s">
        <v>2698</v>
      </c>
      <c r="E579" s="11">
        <v>737.88</v>
      </c>
      <c r="F579" s="11" t="s">
        <v>129</v>
      </c>
      <c r="G579" s="11" t="s">
        <v>2072</v>
      </c>
      <c r="H579" s="9" t="s">
        <v>186</v>
      </c>
      <c r="I579" s="9" t="s">
        <v>81</v>
      </c>
      <c r="J579" s="9" t="s">
        <v>2078</v>
      </c>
    </row>
    <row r="580" spans="1:10">
      <c r="A580" s="8">
        <v>9042</v>
      </c>
      <c r="B580" s="10" t="s">
        <v>1901</v>
      </c>
      <c r="C580" s="11" t="s">
        <v>923</v>
      </c>
      <c r="D580" s="11" t="s">
        <v>2952</v>
      </c>
      <c r="E580" s="11">
        <v>737.88</v>
      </c>
      <c r="F580" s="11" t="s">
        <v>129</v>
      </c>
      <c r="G580" s="11" t="s">
        <v>2081</v>
      </c>
      <c r="H580" s="9" t="s">
        <v>366</v>
      </c>
      <c r="I580" s="9" t="s">
        <v>367</v>
      </c>
      <c r="J580" s="9" t="s">
        <v>2073</v>
      </c>
    </row>
    <row r="581" spans="1:10">
      <c r="A581" s="8">
        <v>4096</v>
      </c>
      <c r="B581" s="10" t="s">
        <v>532</v>
      </c>
      <c r="C581" s="11" t="s">
        <v>924</v>
      </c>
      <c r="D581" s="11" t="s">
        <v>2451</v>
      </c>
      <c r="E581" s="11">
        <v>737.88</v>
      </c>
      <c r="F581" s="11" t="s">
        <v>258</v>
      </c>
      <c r="G581" s="11" t="s">
        <v>2072</v>
      </c>
      <c r="H581" s="9" t="s">
        <v>277</v>
      </c>
      <c r="I581" s="9" t="s">
        <v>53</v>
      </c>
      <c r="J581" s="9" t="s">
        <v>2075</v>
      </c>
    </row>
    <row r="582" spans="1:10">
      <c r="A582" s="8">
        <v>41399</v>
      </c>
      <c r="B582" s="10" t="s">
        <v>1902</v>
      </c>
      <c r="C582" s="11" t="s">
        <v>925</v>
      </c>
      <c r="D582" s="11" t="s">
        <v>2602</v>
      </c>
      <c r="E582" s="11">
        <v>737.88</v>
      </c>
      <c r="F582" s="11" t="s">
        <v>129</v>
      </c>
      <c r="G582" s="11" t="s">
        <v>2072</v>
      </c>
      <c r="H582" s="9" t="s">
        <v>164</v>
      </c>
      <c r="I582" s="9" t="s">
        <v>165</v>
      </c>
      <c r="J582" s="9" t="s">
        <v>2073</v>
      </c>
    </row>
    <row r="583" spans="1:10">
      <c r="A583" s="8">
        <v>65315</v>
      </c>
      <c r="B583" s="10" t="s">
        <v>1903</v>
      </c>
      <c r="C583" s="11" t="s">
        <v>1298</v>
      </c>
      <c r="D583" s="11" t="s">
        <v>2833</v>
      </c>
      <c r="E583" s="11">
        <v>737.88</v>
      </c>
      <c r="F583" s="11" t="s">
        <v>129</v>
      </c>
      <c r="G583" s="11" t="s">
        <v>2072</v>
      </c>
      <c r="H583" s="9" t="s">
        <v>178</v>
      </c>
      <c r="I583" s="9" t="s">
        <v>179</v>
      </c>
      <c r="J583" s="9" t="s">
        <v>2073</v>
      </c>
    </row>
    <row r="584" spans="1:10">
      <c r="A584" s="8">
        <v>46279</v>
      </c>
      <c r="B584" s="10" t="s">
        <v>1904</v>
      </c>
      <c r="C584" s="11" t="s">
        <v>927</v>
      </c>
      <c r="D584" s="11" t="s">
        <v>2619</v>
      </c>
      <c r="E584" s="11">
        <v>737.88</v>
      </c>
      <c r="F584" s="11" t="s">
        <v>129</v>
      </c>
      <c r="G584" s="11" t="s">
        <v>2072</v>
      </c>
      <c r="H584" s="9" t="s">
        <v>115</v>
      </c>
      <c r="I584" s="9" t="s">
        <v>116</v>
      </c>
      <c r="J584" s="9" t="s">
        <v>2073</v>
      </c>
    </row>
    <row r="585" spans="1:10">
      <c r="A585" s="8">
        <v>68892</v>
      </c>
      <c r="B585" s="10" t="s">
        <v>2349</v>
      </c>
      <c r="C585" s="11" t="s">
        <v>2350</v>
      </c>
      <c r="D585" s="11" t="s">
        <v>2437</v>
      </c>
      <c r="E585" s="11">
        <v>737.88</v>
      </c>
      <c r="F585" s="11" t="s">
        <v>129</v>
      </c>
      <c r="G585" s="11" t="s">
        <v>2072</v>
      </c>
      <c r="H585" s="9" t="s">
        <v>366</v>
      </c>
      <c r="I585" s="9" t="s">
        <v>367</v>
      </c>
      <c r="J585" s="9" t="s">
        <v>2073</v>
      </c>
    </row>
    <row r="586" spans="1:10">
      <c r="A586" s="8">
        <v>41295</v>
      </c>
      <c r="B586" s="10" t="s">
        <v>928</v>
      </c>
      <c r="C586" s="11" t="s">
        <v>929</v>
      </c>
      <c r="D586" s="11" t="s">
        <v>2953</v>
      </c>
      <c r="E586" s="11">
        <v>178.58</v>
      </c>
      <c r="F586" s="11" t="s">
        <v>129</v>
      </c>
      <c r="G586" s="11" t="s">
        <v>2072</v>
      </c>
      <c r="H586" s="9" t="s">
        <v>930</v>
      </c>
      <c r="I586" s="9" t="s">
        <v>931</v>
      </c>
      <c r="J586" s="9" t="s">
        <v>2120</v>
      </c>
    </row>
    <row r="587" spans="1:10">
      <c r="A587" s="8">
        <v>36554</v>
      </c>
      <c r="B587" s="10" t="s">
        <v>1905</v>
      </c>
      <c r="C587" s="11" t="s">
        <v>932</v>
      </c>
      <c r="D587" s="11" t="s">
        <v>2580</v>
      </c>
      <c r="E587" s="11">
        <v>1520.04</v>
      </c>
      <c r="F587" s="11" t="s">
        <v>155</v>
      </c>
      <c r="G587" s="11" t="s">
        <v>2072</v>
      </c>
      <c r="H587" s="9" t="s">
        <v>225</v>
      </c>
      <c r="I587" s="9" t="s">
        <v>226</v>
      </c>
      <c r="J587" s="9" t="s">
        <v>2073</v>
      </c>
    </row>
    <row r="588" spans="1:10">
      <c r="A588" s="8">
        <v>31732</v>
      </c>
      <c r="B588" s="10" t="s">
        <v>933</v>
      </c>
      <c r="C588" s="11" t="s">
        <v>934</v>
      </c>
      <c r="D588" s="11" t="s">
        <v>2954</v>
      </c>
      <c r="E588" s="11">
        <v>714.24</v>
      </c>
      <c r="F588" s="11" t="s">
        <v>129</v>
      </c>
      <c r="G588" s="11" t="s">
        <v>2072</v>
      </c>
      <c r="H588" s="9" t="s">
        <v>135</v>
      </c>
      <c r="I588" s="9" t="s">
        <v>84</v>
      </c>
      <c r="J588" s="9" t="s">
        <v>2104</v>
      </c>
    </row>
    <row r="589" spans="1:10">
      <c r="A589" s="8">
        <v>61879</v>
      </c>
      <c r="B589" s="10" t="s">
        <v>1906</v>
      </c>
      <c r="C589" s="11" t="s">
        <v>1195</v>
      </c>
      <c r="D589" s="11" t="s">
        <v>2804</v>
      </c>
      <c r="E589" s="11">
        <v>714.24</v>
      </c>
      <c r="F589" s="11" t="s">
        <v>129</v>
      </c>
      <c r="G589" s="11" t="s">
        <v>2072</v>
      </c>
      <c r="H589" s="9" t="s">
        <v>357</v>
      </c>
      <c r="I589" s="9" t="s">
        <v>358</v>
      </c>
      <c r="J589" s="9" t="s">
        <v>2126</v>
      </c>
    </row>
    <row r="590" spans="1:10">
      <c r="A590" s="8">
        <v>49163</v>
      </c>
      <c r="B590" s="10" t="s">
        <v>1907</v>
      </c>
      <c r="C590" s="11" t="s">
        <v>935</v>
      </c>
      <c r="D590" s="11" t="s">
        <v>2646</v>
      </c>
      <c r="E590" s="11">
        <v>737.88</v>
      </c>
      <c r="F590" s="11" t="s">
        <v>129</v>
      </c>
      <c r="G590" s="11" t="s">
        <v>2072</v>
      </c>
      <c r="H590" s="9" t="s">
        <v>146</v>
      </c>
      <c r="I590" s="9" t="s">
        <v>4</v>
      </c>
      <c r="J590" s="9" t="s">
        <v>2073</v>
      </c>
    </row>
    <row r="591" spans="1:10">
      <c r="A591" s="8">
        <v>52090</v>
      </c>
      <c r="B591" s="10" t="s">
        <v>1908</v>
      </c>
      <c r="C591" s="11" t="s">
        <v>936</v>
      </c>
      <c r="D591" s="11" t="s">
        <v>2679</v>
      </c>
      <c r="E591" s="11">
        <v>737.88</v>
      </c>
      <c r="F591" s="11" t="s">
        <v>129</v>
      </c>
      <c r="G591" s="11" t="s">
        <v>2072</v>
      </c>
      <c r="H591" s="9" t="s">
        <v>146</v>
      </c>
      <c r="I591" s="9" t="s">
        <v>4</v>
      </c>
      <c r="J591" s="9" t="s">
        <v>2073</v>
      </c>
    </row>
    <row r="592" spans="1:10">
      <c r="A592" s="8">
        <v>46914</v>
      </c>
      <c r="B592" s="10" t="s">
        <v>1909</v>
      </c>
      <c r="C592" s="11" t="s">
        <v>937</v>
      </c>
      <c r="D592" s="11" t="s">
        <v>2624</v>
      </c>
      <c r="E592" s="11">
        <v>737.88</v>
      </c>
      <c r="F592" s="11" t="s">
        <v>129</v>
      </c>
      <c r="G592" s="11" t="s">
        <v>2072</v>
      </c>
      <c r="H592" s="9" t="s">
        <v>366</v>
      </c>
      <c r="I592" s="9" t="s">
        <v>367</v>
      </c>
      <c r="J592" s="9" t="s">
        <v>2073</v>
      </c>
    </row>
    <row r="593" spans="1:10">
      <c r="A593" s="8">
        <v>62890</v>
      </c>
      <c r="B593" s="10" t="s">
        <v>1910</v>
      </c>
      <c r="C593" s="11" t="s">
        <v>1204</v>
      </c>
      <c r="D593" s="11" t="s">
        <v>2810</v>
      </c>
      <c r="E593" s="11">
        <v>357.12</v>
      </c>
      <c r="F593" s="11" t="s">
        <v>129</v>
      </c>
      <c r="G593" s="11" t="s">
        <v>2072</v>
      </c>
      <c r="H593" s="9" t="s">
        <v>1205</v>
      </c>
      <c r="I593" s="9" t="s">
        <v>1206</v>
      </c>
      <c r="J593" s="9" t="s">
        <v>2170</v>
      </c>
    </row>
    <row r="594" spans="1:10">
      <c r="A594" s="8">
        <v>62891</v>
      </c>
      <c r="B594" s="10" t="s">
        <v>1911</v>
      </c>
      <c r="C594" s="11" t="s">
        <v>1209</v>
      </c>
      <c r="D594" s="11" t="s">
        <v>2955</v>
      </c>
      <c r="E594" s="11">
        <v>178.57</v>
      </c>
      <c r="F594" s="11" t="s">
        <v>129</v>
      </c>
      <c r="G594" s="11" t="s">
        <v>2072</v>
      </c>
      <c r="H594" s="9" t="s">
        <v>1210</v>
      </c>
      <c r="I594" s="9" t="s">
        <v>1211</v>
      </c>
      <c r="J594" s="9" t="s">
        <v>2171</v>
      </c>
    </row>
    <row r="595" spans="1:10">
      <c r="A595" s="8">
        <v>62905</v>
      </c>
      <c r="B595" s="10" t="s">
        <v>1912</v>
      </c>
      <c r="C595" s="11" t="s">
        <v>1212</v>
      </c>
      <c r="D595" s="11" t="s">
        <v>2955</v>
      </c>
      <c r="E595" s="11">
        <v>178.57</v>
      </c>
      <c r="F595" s="11" t="s">
        <v>129</v>
      </c>
      <c r="G595" s="11" t="s">
        <v>2072</v>
      </c>
      <c r="H595" s="9" t="s">
        <v>814</v>
      </c>
      <c r="I595" s="9" t="s">
        <v>815</v>
      </c>
      <c r="J595" s="9" t="s">
        <v>2160</v>
      </c>
    </row>
    <row r="596" spans="1:10">
      <c r="A596" s="8">
        <v>8696</v>
      </c>
      <c r="B596" s="10" t="s">
        <v>400</v>
      </c>
      <c r="C596" s="11" t="s">
        <v>938</v>
      </c>
      <c r="D596" s="11" t="s">
        <v>2476</v>
      </c>
      <c r="E596" s="11">
        <v>737.88</v>
      </c>
      <c r="F596" s="11" t="s">
        <v>129</v>
      </c>
      <c r="G596" s="11" t="s">
        <v>2072</v>
      </c>
      <c r="H596" s="9" t="s">
        <v>326</v>
      </c>
      <c r="I596" s="9" t="s">
        <v>327</v>
      </c>
      <c r="J596" s="9" t="s">
        <v>2079</v>
      </c>
    </row>
    <row r="597" spans="1:10">
      <c r="A597" s="8">
        <v>4038</v>
      </c>
      <c r="B597" s="10" t="s">
        <v>1913</v>
      </c>
      <c r="C597" s="11" t="s">
        <v>939</v>
      </c>
      <c r="D597" s="11" t="s">
        <v>2451</v>
      </c>
      <c r="E597" s="11">
        <v>737.88</v>
      </c>
      <c r="F597" s="11" t="s">
        <v>129</v>
      </c>
      <c r="G597" s="11" t="s">
        <v>2085</v>
      </c>
      <c r="H597" s="9" t="s">
        <v>115</v>
      </c>
      <c r="I597" s="9" t="s">
        <v>116</v>
      </c>
      <c r="J597" s="9" t="s">
        <v>2073</v>
      </c>
    </row>
    <row r="598" spans="1:10">
      <c r="A598" s="8">
        <v>2132</v>
      </c>
      <c r="B598" s="10" t="s">
        <v>1914</v>
      </c>
      <c r="C598" s="11" t="s">
        <v>940</v>
      </c>
      <c r="D598" s="11" t="s">
        <v>2444</v>
      </c>
      <c r="E598" s="11">
        <v>737.88</v>
      </c>
      <c r="F598" s="11" t="s">
        <v>258</v>
      </c>
      <c r="G598" s="11" t="s">
        <v>2072</v>
      </c>
      <c r="H598" s="9" t="s">
        <v>214</v>
      </c>
      <c r="I598" s="9" t="s">
        <v>215</v>
      </c>
      <c r="J598" s="9" t="s">
        <v>2073</v>
      </c>
    </row>
    <row r="599" spans="1:10">
      <c r="A599" s="8">
        <v>65285</v>
      </c>
      <c r="B599" s="10" t="s">
        <v>1915</v>
      </c>
      <c r="C599" s="11" t="s">
        <v>1299</v>
      </c>
      <c r="D599" s="11" t="s">
        <v>2832</v>
      </c>
      <c r="E599" s="11">
        <v>737.88</v>
      </c>
      <c r="F599" s="11" t="s">
        <v>129</v>
      </c>
      <c r="G599" s="11" t="s">
        <v>2072</v>
      </c>
      <c r="H599" s="9" t="s">
        <v>153</v>
      </c>
      <c r="I599" s="9" t="s">
        <v>154</v>
      </c>
      <c r="J599" s="9" t="s">
        <v>2073</v>
      </c>
    </row>
    <row r="600" spans="1:10">
      <c r="A600" s="8">
        <v>23811</v>
      </c>
      <c r="B600" s="10" t="s">
        <v>941</v>
      </c>
      <c r="C600" s="11" t="s">
        <v>942</v>
      </c>
      <c r="D600" s="11" t="s">
        <v>2528</v>
      </c>
      <c r="E600" s="11">
        <v>723.21</v>
      </c>
      <c r="F600" s="11" t="s">
        <v>129</v>
      </c>
      <c r="G600" s="11" t="s">
        <v>2072</v>
      </c>
      <c r="H600" s="9" t="s">
        <v>220</v>
      </c>
      <c r="I600" s="9" t="s">
        <v>61</v>
      </c>
      <c r="J600" s="9" t="s">
        <v>2093</v>
      </c>
    </row>
    <row r="601" spans="1:10">
      <c r="A601" s="8">
        <v>49186</v>
      </c>
      <c r="B601" s="10" t="s">
        <v>606</v>
      </c>
      <c r="C601" s="11" t="s">
        <v>943</v>
      </c>
      <c r="D601" s="11" t="s">
        <v>2642</v>
      </c>
      <c r="E601" s="11">
        <v>737.88</v>
      </c>
      <c r="F601" s="11" t="s">
        <v>129</v>
      </c>
      <c r="G601" s="11" t="s">
        <v>2131</v>
      </c>
      <c r="H601" s="9" t="s">
        <v>211</v>
      </c>
      <c r="I601" s="9" t="s">
        <v>93</v>
      </c>
      <c r="J601" s="9" t="s">
        <v>2080</v>
      </c>
    </row>
    <row r="602" spans="1:10">
      <c r="A602" s="8">
        <v>68692</v>
      </c>
      <c r="B602" s="10" t="s">
        <v>2351</v>
      </c>
      <c r="C602" s="11" t="s">
        <v>1353</v>
      </c>
      <c r="D602" s="11" t="s">
        <v>2452</v>
      </c>
      <c r="E602" s="11">
        <v>178.57</v>
      </c>
      <c r="F602" s="11" t="s">
        <v>129</v>
      </c>
      <c r="G602" s="11" t="s">
        <v>2085</v>
      </c>
      <c r="H602" s="9" t="s">
        <v>887</v>
      </c>
      <c r="I602" s="9" t="s">
        <v>888</v>
      </c>
      <c r="J602" s="9" t="s">
        <v>2138</v>
      </c>
    </row>
    <row r="603" spans="1:10">
      <c r="A603" s="8">
        <v>2416</v>
      </c>
      <c r="B603" s="10" t="s">
        <v>1916</v>
      </c>
      <c r="C603" s="11" t="s">
        <v>944</v>
      </c>
      <c r="D603" s="11" t="s">
        <v>2445</v>
      </c>
      <c r="E603" s="11">
        <v>737.88</v>
      </c>
      <c r="F603" s="11" t="s">
        <v>129</v>
      </c>
      <c r="G603" s="11" t="s">
        <v>2072</v>
      </c>
      <c r="H603" s="9" t="s">
        <v>146</v>
      </c>
      <c r="I603" s="9" t="s">
        <v>4</v>
      </c>
      <c r="J603" s="9" t="s">
        <v>2073</v>
      </c>
    </row>
    <row r="604" spans="1:10">
      <c r="A604" s="8">
        <v>7605</v>
      </c>
      <c r="B604" s="10" t="s">
        <v>1917</v>
      </c>
      <c r="C604" s="11" t="s">
        <v>945</v>
      </c>
      <c r="D604" s="11" t="s">
        <v>2469</v>
      </c>
      <c r="E604" s="11">
        <v>737.88</v>
      </c>
      <c r="F604" s="11" t="s">
        <v>129</v>
      </c>
      <c r="G604" s="11" t="s">
        <v>2072</v>
      </c>
      <c r="H604" s="9" t="s">
        <v>115</v>
      </c>
      <c r="I604" s="9" t="s">
        <v>116</v>
      </c>
      <c r="J604" s="9" t="s">
        <v>2073</v>
      </c>
    </row>
    <row r="605" spans="1:10">
      <c r="A605" s="8">
        <v>53085</v>
      </c>
      <c r="B605" s="10" t="s">
        <v>947</v>
      </c>
      <c r="C605" s="11" t="s">
        <v>946</v>
      </c>
      <c r="D605" s="11" t="s">
        <v>2696</v>
      </c>
      <c r="E605" s="11">
        <v>714.24</v>
      </c>
      <c r="F605" s="11" t="s">
        <v>129</v>
      </c>
      <c r="G605" s="11" t="s">
        <v>2072</v>
      </c>
      <c r="H605" s="9" t="s">
        <v>454</v>
      </c>
      <c r="I605" s="9" t="s">
        <v>51</v>
      </c>
      <c r="J605" s="9" t="s">
        <v>2097</v>
      </c>
    </row>
    <row r="606" spans="1:10">
      <c r="A606" s="8">
        <v>24169</v>
      </c>
      <c r="B606" s="10" t="s">
        <v>335</v>
      </c>
      <c r="C606" s="11" t="s">
        <v>948</v>
      </c>
      <c r="D606" s="11" t="s">
        <v>2529</v>
      </c>
      <c r="E606" s="11">
        <v>584.38</v>
      </c>
      <c r="F606" s="11" t="s">
        <v>129</v>
      </c>
      <c r="G606" s="11" t="s">
        <v>2072</v>
      </c>
      <c r="H606" s="9" t="s">
        <v>333</v>
      </c>
      <c r="I606" s="9" t="s">
        <v>334</v>
      </c>
      <c r="J606" s="9" t="s">
        <v>2095</v>
      </c>
    </row>
    <row r="607" spans="1:10">
      <c r="A607" s="8">
        <v>65830</v>
      </c>
      <c r="B607" s="10" t="s">
        <v>1918</v>
      </c>
      <c r="C607" s="11" t="s">
        <v>1318</v>
      </c>
      <c r="D607" s="11" t="s">
        <v>2836</v>
      </c>
      <c r="E607" s="11">
        <v>584.38</v>
      </c>
      <c r="F607" s="11" t="s">
        <v>129</v>
      </c>
      <c r="G607" s="11" t="s">
        <v>2072</v>
      </c>
      <c r="H607" s="9" t="s">
        <v>394</v>
      </c>
      <c r="I607" s="9" t="s">
        <v>395</v>
      </c>
      <c r="J607" s="9" t="s">
        <v>2162</v>
      </c>
    </row>
    <row r="608" spans="1:10">
      <c r="A608" s="8">
        <v>67930</v>
      </c>
      <c r="B608" s="10" t="s">
        <v>2231</v>
      </c>
      <c r="C608" s="11" t="s">
        <v>2232</v>
      </c>
      <c r="D608" s="11" t="s">
        <v>2868</v>
      </c>
      <c r="E608" s="11">
        <v>737.88</v>
      </c>
      <c r="F608" s="11" t="s">
        <v>129</v>
      </c>
      <c r="G608" s="11" t="s">
        <v>2072</v>
      </c>
      <c r="H608" s="9" t="s">
        <v>482</v>
      </c>
      <c r="I608" s="9" t="s">
        <v>483</v>
      </c>
      <c r="J608" s="9" t="s">
        <v>2073</v>
      </c>
    </row>
    <row r="609" spans="1:10">
      <c r="A609" s="8">
        <v>7335</v>
      </c>
      <c r="B609" s="10" t="s">
        <v>1919</v>
      </c>
      <c r="C609" s="11" t="s">
        <v>950</v>
      </c>
      <c r="D609" s="11" t="s">
        <v>2467</v>
      </c>
      <c r="E609" s="11">
        <v>955.15</v>
      </c>
      <c r="F609" s="11" t="s">
        <v>113</v>
      </c>
      <c r="G609" s="11" t="s">
        <v>2072</v>
      </c>
      <c r="H609" s="9" t="s">
        <v>809</v>
      </c>
      <c r="I609" s="9" t="s">
        <v>810</v>
      </c>
      <c r="J609" s="9" t="s">
        <v>2073</v>
      </c>
    </row>
    <row r="610" spans="1:10">
      <c r="A610" s="8">
        <v>67567</v>
      </c>
      <c r="B610" s="10" t="s">
        <v>2233</v>
      </c>
      <c r="C610" s="11" t="s">
        <v>2182</v>
      </c>
      <c r="D610" s="11" t="s">
        <v>2956</v>
      </c>
      <c r="E610" s="11">
        <v>808.05</v>
      </c>
      <c r="F610" s="11" t="s">
        <v>166</v>
      </c>
      <c r="G610" s="11" t="s">
        <v>2072</v>
      </c>
      <c r="H610" s="9" t="s">
        <v>248</v>
      </c>
      <c r="I610" s="9" t="s">
        <v>249</v>
      </c>
      <c r="J610" s="9" t="s">
        <v>2073</v>
      </c>
    </row>
    <row r="611" spans="1:10">
      <c r="A611" s="8">
        <v>56697</v>
      </c>
      <c r="B611" s="10" t="s">
        <v>1920</v>
      </c>
      <c r="C611" s="11" t="s">
        <v>951</v>
      </c>
      <c r="D611" s="11" t="s">
        <v>2957</v>
      </c>
      <c r="E611" s="11">
        <v>357.13</v>
      </c>
      <c r="F611" s="11" t="s">
        <v>129</v>
      </c>
      <c r="G611" s="11" t="s">
        <v>2072</v>
      </c>
      <c r="H611" s="9" t="s">
        <v>952</v>
      </c>
      <c r="I611" s="9" t="s">
        <v>953</v>
      </c>
      <c r="J611" s="9" t="s">
        <v>2155</v>
      </c>
    </row>
    <row r="612" spans="1:10">
      <c r="A612" s="8">
        <v>14952</v>
      </c>
      <c r="B612" s="10" t="s">
        <v>430</v>
      </c>
      <c r="C612" s="11" t="s">
        <v>954</v>
      </c>
      <c r="D612" s="11" t="s">
        <v>2490</v>
      </c>
      <c r="E612" s="11">
        <v>878.5</v>
      </c>
      <c r="F612" s="11" t="s">
        <v>113</v>
      </c>
      <c r="G612" s="11" t="s">
        <v>2072</v>
      </c>
      <c r="H612" s="9" t="s">
        <v>955</v>
      </c>
      <c r="I612" s="9" t="s">
        <v>64</v>
      </c>
      <c r="J612" s="9" t="s">
        <v>2083</v>
      </c>
    </row>
    <row r="613" spans="1:10">
      <c r="A613" s="8">
        <v>50856</v>
      </c>
      <c r="B613" s="10" t="s">
        <v>884</v>
      </c>
      <c r="C613" s="11" t="s">
        <v>956</v>
      </c>
      <c r="D613" s="11" t="s">
        <v>2440</v>
      </c>
      <c r="E613" s="11">
        <v>714.24</v>
      </c>
      <c r="F613" s="11" t="s">
        <v>129</v>
      </c>
      <c r="G613" s="11" t="s">
        <v>2081</v>
      </c>
      <c r="H613" s="9" t="s">
        <v>493</v>
      </c>
      <c r="I613" s="9" t="s">
        <v>494</v>
      </c>
      <c r="J613" s="9" t="s">
        <v>2087</v>
      </c>
    </row>
    <row r="614" spans="1:10">
      <c r="A614" s="8">
        <v>47381</v>
      </c>
      <c r="B614" s="10" t="s">
        <v>1921</v>
      </c>
      <c r="C614" s="11" t="s">
        <v>957</v>
      </c>
      <c r="D614" s="11" t="s">
        <v>2958</v>
      </c>
      <c r="E614" s="11">
        <v>737.88</v>
      </c>
      <c r="F614" s="11" t="s">
        <v>129</v>
      </c>
      <c r="G614" s="11" t="s">
        <v>2112</v>
      </c>
      <c r="H614" s="9" t="s">
        <v>403</v>
      </c>
      <c r="I614" s="9" t="s">
        <v>404</v>
      </c>
      <c r="J614" s="9" t="s">
        <v>2073</v>
      </c>
    </row>
    <row r="615" spans="1:10">
      <c r="A615" s="8">
        <v>64913</v>
      </c>
      <c r="B615" s="10" t="s">
        <v>1922</v>
      </c>
      <c r="C615" s="11" t="s">
        <v>1269</v>
      </c>
      <c r="D615" s="11" t="s">
        <v>2828</v>
      </c>
      <c r="E615" s="11">
        <v>737.88</v>
      </c>
      <c r="F615" s="11" t="s">
        <v>129</v>
      </c>
      <c r="G615" s="11" t="s">
        <v>2072</v>
      </c>
      <c r="H615" s="9" t="s">
        <v>169</v>
      </c>
      <c r="I615" s="9" t="s">
        <v>66</v>
      </c>
      <c r="J615" s="9" t="s">
        <v>2088</v>
      </c>
    </row>
    <row r="616" spans="1:10">
      <c r="A616" s="8">
        <v>57480</v>
      </c>
      <c r="B616" s="10" t="s">
        <v>1923</v>
      </c>
      <c r="C616" s="11" t="s">
        <v>958</v>
      </c>
      <c r="D616" s="11" t="s">
        <v>2959</v>
      </c>
      <c r="E616" s="11">
        <v>178.58</v>
      </c>
      <c r="F616" s="11" t="s">
        <v>129</v>
      </c>
      <c r="G616" s="11" t="s">
        <v>2081</v>
      </c>
      <c r="H616" s="9" t="s">
        <v>959</v>
      </c>
      <c r="I616" s="9" t="s">
        <v>960</v>
      </c>
      <c r="J616" s="9" t="s">
        <v>2158</v>
      </c>
    </row>
    <row r="617" spans="1:10">
      <c r="A617" s="8">
        <v>51753</v>
      </c>
      <c r="B617" s="10" t="s">
        <v>962</v>
      </c>
      <c r="C617" s="11" t="s">
        <v>963</v>
      </c>
      <c r="D617" s="11" t="s">
        <v>2522</v>
      </c>
      <c r="E617" s="11">
        <v>714.24</v>
      </c>
      <c r="F617" s="11" t="s">
        <v>129</v>
      </c>
      <c r="G617" s="11" t="s">
        <v>2072</v>
      </c>
      <c r="H617" s="9" t="s">
        <v>964</v>
      </c>
      <c r="I617" s="9" t="s">
        <v>77</v>
      </c>
      <c r="J617" s="9" t="s">
        <v>2139</v>
      </c>
    </row>
    <row r="618" spans="1:10">
      <c r="A618" s="8">
        <v>50234</v>
      </c>
      <c r="B618" s="10" t="s">
        <v>1924</v>
      </c>
      <c r="C618" s="11" t="s">
        <v>965</v>
      </c>
      <c r="D618" s="11" t="s">
        <v>2653</v>
      </c>
      <c r="E618" s="11">
        <v>737.88</v>
      </c>
      <c r="F618" s="11" t="s">
        <v>129</v>
      </c>
      <c r="G618" s="11" t="s">
        <v>2072</v>
      </c>
      <c r="H618" s="9" t="s">
        <v>211</v>
      </c>
      <c r="I618" s="9" t="s">
        <v>93</v>
      </c>
      <c r="J618" s="9" t="s">
        <v>2080</v>
      </c>
    </row>
    <row r="619" spans="1:10">
      <c r="A619" s="8">
        <v>61424</v>
      </c>
      <c r="B619" s="10" t="s">
        <v>1925</v>
      </c>
      <c r="C619" s="11" t="s">
        <v>966</v>
      </c>
      <c r="D619" s="11" t="s">
        <v>2795</v>
      </c>
      <c r="E619" s="11">
        <v>357.13</v>
      </c>
      <c r="F619" s="11" t="s">
        <v>129</v>
      </c>
      <c r="G619" s="11" t="s">
        <v>2072</v>
      </c>
      <c r="H619" s="9" t="s">
        <v>967</v>
      </c>
      <c r="I619" s="9" t="s">
        <v>968</v>
      </c>
      <c r="J619" s="9" t="s">
        <v>2121</v>
      </c>
    </row>
    <row r="620" spans="1:10">
      <c r="A620" s="8">
        <v>41641</v>
      </c>
      <c r="B620" s="10" t="s">
        <v>969</v>
      </c>
      <c r="C620" s="11" t="s">
        <v>970</v>
      </c>
      <c r="D620" s="11" t="s">
        <v>2602</v>
      </c>
      <c r="E620" s="11">
        <v>714.24</v>
      </c>
      <c r="F620" s="11" t="s">
        <v>129</v>
      </c>
      <c r="G620" s="11" t="s">
        <v>2072</v>
      </c>
      <c r="H620" s="9" t="s">
        <v>967</v>
      </c>
      <c r="I620" s="9" t="s">
        <v>968</v>
      </c>
      <c r="J620" s="9" t="s">
        <v>2121</v>
      </c>
    </row>
    <row r="621" spans="1:10">
      <c r="A621" s="8">
        <v>49620</v>
      </c>
      <c r="B621" s="10" t="s">
        <v>1354</v>
      </c>
      <c r="C621" s="11" t="s">
        <v>971</v>
      </c>
      <c r="D621" s="11" t="s">
        <v>2648</v>
      </c>
      <c r="E621" s="11">
        <v>357.13</v>
      </c>
      <c r="F621" s="11" t="s">
        <v>129</v>
      </c>
      <c r="G621" s="11" t="s">
        <v>2072</v>
      </c>
      <c r="H621" s="9" t="s">
        <v>972</v>
      </c>
      <c r="I621" s="9" t="s">
        <v>973</v>
      </c>
      <c r="J621" s="9" t="s">
        <v>2133</v>
      </c>
    </row>
    <row r="622" spans="1:10">
      <c r="A622" s="8">
        <v>68973</v>
      </c>
      <c r="B622" s="10" t="s">
        <v>2429</v>
      </c>
      <c r="C622" s="11" t="s">
        <v>2430</v>
      </c>
      <c r="D622" s="11" t="s">
        <v>2410</v>
      </c>
      <c r="E622" s="11">
        <v>737.88</v>
      </c>
      <c r="F622" s="11" t="s">
        <v>420</v>
      </c>
      <c r="G622" s="11" t="s">
        <v>2072</v>
      </c>
      <c r="H622" s="9" t="s">
        <v>153</v>
      </c>
      <c r="I622" s="9" t="s">
        <v>154</v>
      </c>
      <c r="J622" s="9" t="s">
        <v>2073</v>
      </c>
    </row>
    <row r="623" spans="1:10">
      <c r="A623" s="8">
        <v>48615</v>
      </c>
      <c r="B623" s="10" t="s">
        <v>1926</v>
      </c>
      <c r="C623" s="11" t="s">
        <v>974</v>
      </c>
      <c r="D623" s="11" t="s">
        <v>2638</v>
      </c>
      <c r="E623" s="11">
        <v>1093.3699999999999</v>
      </c>
      <c r="F623" s="11" t="s">
        <v>117</v>
      </c>
      <c r="G623" s="11" t="s">
        <v>2072</v>
      </c>
      <c r="H623" s="9" t="s">
        <v>366</v>
      </c>
      <c r="I623" s="9" t="s">
        <v>367</v>
      </c>
      <c r="J623" s="9" t="s">
        <v>2073</v>
      </c>
    </row>
    <row r="624" spans="1:10">
      <c r="A624" s="8">
        <v>53141</v>
      </c>
      <c r="B624" s="10" t="s">
        <v>1928</v>
      </c>
      <c r="C624" s="11" t="s">
        <v>975</v>
      </c>
      <c r="D624" s="11" t="s">
        <v>2697</v>
      </c>
      <c r="E624" s="11">
        <v>1520.04</v>
      </c>
      <c r="F624" s="11" t="s">
        <v>155</v>
      </c>
      <c r="G624" s="11" t="s">
        <v>2072</v>
      </c>
      <c r="H624" s="9" t="s">
        <v>212</v>
      </c>
      <c r="I624" s="9" t="s">
        <v>213</v>
      </c>
      <c r="J624" s="9" t="s">
        <v>2073</v>
      </c>
    </row>
    <row r="625" spans="1:10">
      <c r="A625" s="8">
        <v>56037</v>
      </c>
      <c r="B625" s="10" t="s">
        <v>1487</v>
      </c>
      <c r="C625" s="11" t="s">
        <v>28</v>
      </c>
      <c r="D625" s="11" t="s">
        <v>2413</v>
      </c>
      <c r="E625" s="11">
        <v>2110.38</v>
      </c>
      <c r="F625" s="11" t="s">
        <v>0</v>
      </c>
      <c r="G625" s="11" t="s">
        <v>2072</v>
      </c>
      <c r="H625" s="9" t="s">
        <v>306</v>
      </c>
      <c r="I625" s="9" t="s">
        <v>307</v>
      </c>
      <c r="J625" s="9" t="s">
        <v>2073</v>
      </c>
    </row>
    <row r="626" spans="1:10">
      <c r="A626" s="8">
        <v>56000</v>
      </c>
      <c r="B626" s="10" t="s">
        <v>1488</v>
      </c>
      <c r="C626" s="11" t="s">
        <v>29</v>
      </c>
      <c r="D626" s="11" t="s">
        <v>2413</v>
      </c>
      <c r="E626" s="11">
        <v>2110.38</v>
      </c>
      <c r="F626" s="11" t="s">
        <v>0</v>
      </c>
      <c r="G626" s="11" t="s">
        <v>2072</v>
      </c>
      <c r="H626" s="9" t="s">
        <v>306</v>
      </c>
      <c r="I626" s="9" t="s">
        <v>307</v>
      </c>
      <c r="J626" s="9" t="s">
        <v>2073</v>
      </c>
    </row>
    <row r="627" spans="1:10">
      <c r="A627" s="8">
        <v>63053</v>
      </c>
      <c r="B627" s="10" t="s">
        <v>1929</v>
      </c>
      <c r="C627" s="11" t="s">
        <v>976</v>
      </c>
      <c r="D627" s="11" t="s">
        <v>2811</v>
      </c>
      <c r="E627" s="11">
        <v>737.88</v>
      </c>
      <c r="F627" s="11" t="s">
        <v>420</v>
      </c>
      <c r="G627" s="11" t="s">
        <v>2072</v>
      </c>
      <c r="H627" s="9" t="s">
        <v>115</v>
      </c>
      <c r="I627" s="9" t="s">
        <v>116</v>
      </c>
      <c r="J627" s="9" t="s">
        <v>2073</v>
      </c>
    </row>
    <row r="628" spans="1:10">
      <c r="A628" s="8">
        <v>62062</v>
      </c>
      <c r="B628" s="10" t="s">
        <v>1930</v>
      </c>
      <c r="C628" s="11" t="s">
        <v>1196</v>
      </c>
      <c r="D628" s="11" t="s">
        <v>2791</v>
      </c>
      <c r="E628" s="11">
        <v>822.96</v>
      </c>
      <c r="F628" s="11" t="s">
        <v>133</v>
      </c>
      <c r="G628" s="11" t="s">
        <v>2072</v>
      </c>
      <c r="H628" s="9" t="s">
        <v>146</v>
      </c>
      <c r="I628" s="9" t="s">
        <v>4</v>
      </c>
      <c r="J628" s="9" t="s">
        <v>2073</v>
      </c>
    </row>
    <row r="629" spans="1:10">
      <c r="A629" s="8">
        <v>49720</v>
      </c>
      <c r="B629" s="10" t="s">
        <v>769</v>
      </c>
      <c r="C629" s="11" t="s">
        <v>977</v>
      </c>
      <c r="D629" s="11" t="s">
        <v>2650</v>
      </c>
      <c r="E629" s="11">
        <v>1036.3900000000001</v>
      </c>
      <c r="F629" s="11" t="s">
        <v>155</v>
      </c>
      <c r="G629" s="11" t="s">
        <v>2072</v>
      </c>
      <c r="H629" s="9" t="s">
        <v>366</v>
      </c>
      <c r="I629" s="9" t="s">
        <v>367</v>
      </c>
      <c r="J629" s="9" t="s">
        <v>2073</v>
      </c>
    </row>
    <row r="630" spans="1:10">
      <c r="A630" s="8">
        <v>58935</v>
      </c>
      <c r="B630" s="10" t="s">
        <v>1931</v>
      </c>
      <c r="C630" s="11" t="s">
        <v>978</v>
      </c>
      <c r="D630" s="11" t="s">
        <v>2764</v>
      </c>
      <c r="E630" s="11">
        <v>737.88</v>
      </c>
      <c r="F630" s="11" t="s">
        <v>420</v>
      </c>
      <c r="G630" s="11" t="s">
        <v>2072</v>
      </c>
      <c r="H630" s="9" t="s">
        <v>131</v>
      </c>
      <c r="I630" s="9" t="s">
        <v>132</v>
      </c>
      <c r="J630" s="9" t="s">
        <v>2073</v>
      </c>
    </row>
    <row r="631" spans="1:10">
      <c r="A631" s="8">
        <v>58953</v>
      </c>
      <c r="B631" s="10" t="s">
        <v>1932</v>
      </c>
      <c r="C631" s="11" t="s">
        <v>979</v>
      </c>
      <c r="D631" s="11" t="s">
        <v>2764</v>
      </c>
      <c r="E631" s="11">
        <v>1093.3699999999999</v>
      </c>
      <c r="F631" s="11" t="s">
        <v>117</v>
      </c>
      <c r="G631" s="11" t="s">
        <v>2072</v>
      </c>
      <c r="H631" s="9" t="s">
        <v>146</v>
      </c>
      <c r="I631" s="9" t="s">
        <v>4</v>
      </c>
      <c r="J631" s="9" t="s">
        <v>2073</v>
      </c>
    </row>
    <row r="632" spans="1:10">
      <c r="A632" s="8">
        <v>59422</v>
      </c>
      <c r="B632" s="10" t="s">
        <v>1349</v>
      </c>
      <c r="C632" s="11" t="s">
        <v>980</v>
      </c>
      <c r="D632" s="11" t="s">
        <v>2415</v>
      </c>
      <c r="E632" s="11">
        <v>737.88</v>
      </c>
      <c r="F632" s="11" t="s">
        <v>111</v>
      </c>
      <c r="G632" s="11" t="s">
        <v>2094</v>
      </c>
      <c r="H632" s="9" t="s">
        <v>214</v>
      </c>
      <c r="I632" s="9" t="s">
        <v>215</v>
      </c>
      <c r="J632" s="9" t="s">
        <v>2073</v>
      </c>
    </row>
    <row r="633" spans="1:10">
      <c r="A633" s="8">
        <v>50526</v>
      </c>
      <c r="B633" s="10" t="s">
        <v>1933</v>
      </c>
      <c r="C633" s="11" t="s">
        <v>981</v>
      </c>
      <c r="D633" s="11" t="s">
        <v>2655</v>
      </c>
      <c r="E633" s="11">
        <v>1036.3900000000001</v>
      </c>
      <c r="F633" s="11" t="s">
        <v>155</v>
      </c>
      <c r="G633" s="11" t="s">
        <v>2074</v>
      </c>
      <c r="H633" s="9" t="s">
        <v>234</v>
      </c>
      <c r="I633" s="9" t="s">
        <v>235</v>
      </c>
      <c r="J633" s="9" t="s">
        <v>2073</v>
      </c>
    </row>
    <row r="634" spans="1:10">
      <c r="A634" s="8">
        <v>51167</v>
      </c>
      <c r="B634" s="10" t="s">
        <v>353</v>
      </c>
      <c r="C634" s="11" t="s">
        <v>982</v>
      </c>
      <c r="D634" s="11" t="s">
        <v>2665</v>
      </c>
      <c r="E634" s="11">
        <v>737.88</v>
      </c>
      <c r="F634" s="11" t="s">
        <v>122</v>
      </c>
      <c r="G634" s="11" t="s">
        <v>2072</v>
      </c>
      <c r="H634" s="9" t="s">
        <v>248</v>
      </c>
      <c r="I634" s="9" t="s">
        <v>249</v>
      </c>
      <c r="J634" s="9" t="s">
        <v>2073</v>
      </c>
    </row>
    <row r="635" spans="1:10">
      <c r="A635" s="8">
        <v>61581</v>
      </c>
      <c r="B635" s="10" t="s">
        <v>1934</v>
      </c>
      <c r="C635" s="11" t="s">
        <v>1181</v>
      </c>
      <c r="D635" s="11" t="s">
        <v>2798</v>
      </c>
      <c r="E635" s="11">
        <v>955.14</v>
      </c>
      <c r="F635" s="11" t="s">
        <v>113</v>
      </c>
      <c r="G635" s="11" t="s">
        <v>2072</v>
      </c>
      <c r="H635" s="9" t="s">
        <v>396</v>
      </c>
      <c r="I635" s="9" t="s">
        <v>397</v>
      </c>
      <c r="J635" s="9" t="s">
        <v>2165</v>
      </c>
    </row>
    <row r="636" spans="1:10">
      <c r="A636" s="8">
        <v>57399</v>
      </c>
      <c r="B636" s="10" t="s">
        <v>1935</v>
      </c>
      <c r="C636" s="11" t="s">
        <v>983</v>
      </c>
      <c r="D636" s="11" t="s">
        <v>2746</v>
      </c>
      <c r="E636" s="11">
        <v>1039.17</v>
      </c>
      <c r="F636" s="11" t="s">
        <v>481</v>
      </c>
      <c r="G636" s="11" t="s">
        <v>2072</v>
      </c>
      <c r="H636" s="9" t="s">
        <v>115</v>
      </c>
      <c r="I636" s="9" t="s">
        <v>116</v>
      </c>
      <c r="J636" s="9" t="s">
        <v>2073</v>
      </c>
    </row>
    <row r="637" spans="1:10">
      <c r="A637" s="8">
        <v>57782</v>
      </c>
      <c r="B637" s="10" t="s">
        <v>1936</v>
      </c>
      <c r="C637" s="11" t="s">
        <v>984</v>
      </c>
      <c r="D637" s="11" t="s">
        <v>2750</v>
      </c>
      <c r="E637" s="11">
        <v>368.97</v>
      </c>
      <c r="F637" s="11" t="s">
        <v>129</v>
      </c>
      <c r="G637" s="11" t="s">
        <v>2159</v>
      </c>
      <c r="H637" s="9" t="s">
        <v>243</v>
      </c>
      <c r="I637" s="9" t="s">
        <v>244</v>
      </c>
      <c r="J637" s="9" t="s">
        <v>2073</v>
      </c>
    </row>
    <row r="638" spans="1:10">
      <c r="A638" s="8">
        <v>50753</v>
      </c>
      <c r="B638" s="10" t="s">
        <v>985</v>
      </c>
      <c r="C638" s="11" t="s">
        <v>986</v>
      </c>
      <c r="D638" s="11" t="s">
        <v>2660</v>
      </c>
      <c r="E638" s="11">
        <v>1093.3699999999999</v>
      </c>
      <c r="F638" s="11" t="s">
        <v>117</v>
      </c>
      <c r="G638" s="11" t="s">
        <v>2072</v>
      </c>
      <c r="H638" s="9" t="s">
        <v>146</v>
      </c>
      <c r="I638" s="9" t="s">
        <v>4</v>
      </c>
      <c r="J638" s="9" t="s">
        <v>2073</v>
      </c>
    </row>
    <row r="639" spans="1:10">
      <c r="A639" s="8">
        <v>56036</v>
      </c>
      <c r="B639" s="10" t="s">
        <v>1489</v>
      </c>
      <c r="C639" s="11" t="s">
        <v>30</v>
      </c>
      <c r="D639" s="11" t="s">
        <v>2413</v>
      </c>
      <c r="E639" s="11">
        <v>2110.38</v>
      </c>
      <c r="F639" s="11" t="s">
        <v>0</v>
      </c>
      <c r="G639" s="11" t="s">
        <v>2072</v>
      </c>
      <c r="H639" s="9" t="s">
        <v>306</v>
      </c>
      <c r="I639" s="9" t="s">
        <v>307</v>
      </c>
      <c r="J639" s="9" t="s">
        <v>2073</v>
      </c>
    </row>
    <row r="640" spans="1:10">
      <c r="A640" s="8">
        <v>56864</v>
      </c>
      <c r="B640" s="10" t="s">
        <v>1937</v>
      </c>
      <c r="C640" s="11" t="s">
        <v>987</v>
      </c>
      <c r="D640" s="11" t="s">
        <v>2741</v>
      </c>
      <c r="E640" s="11">
        <v>955.14</v>
      </c>
      <c r="F640" s="11" t="s">
        <v>113</v>
      </c>
      <c r="G640" s="11" t="s">
        <v>2072</v>
      </c>
      <c r="H640" s="9" t="s">
        <v>809</v>
      </c>
      <c r="I640" s="9" t="s">
        <v>810</v>
      </c>
      <c r="J640" s="9" t="s">
        <v>2073</v>
      </c>
    </row>
    <row r="641" spans="1:10">
      <c r="A641" s="8">
        <v>57590</v>
      </c>
      <c r="B641" s="10" t="s">
        <v>1938</v>
      </c>
      <c r="C641" s="11" t="s">
        <v>988</v>
      </c>
      <c r="D641" s="11" t="s">
        <v>2747</v>
      </c>
      <c r="E641" s="11">
        <v>1150.67</v>
      </c>
      <c r="F641" s="11" t="s">
        <v>147</v>
      </c>
      <c r="G641" s="11" t="s">
        <v>2072</v>
      </c>
      <c r="H641" s="9" t="s">
        <v>115</v>
      </c>
      <c r="I641" s="9" t="s">
        <v>116</v>
      </c>
      <c r="J641" s="9" t="s">
        <v>2073</v>
      </c>
    </row>
    <row r="642" spans="1:10">
      <c r="A642" s="8">
        <v>56140</v>
      </c>
      <c r="B642" s="10" t="s">
        <v>1490</v>
      </c>
      <c r="C642" s="11" t="s">
        <v>86</v>
      </c>
      <c r="D642" s="11" t="s">
        <v>2413</v>
      </c>
      <c r="E642" s="11">
        <v>2110.38</v>
      </c>
      <c r="F642" s="11" t="s">
        <v>0</v>
      </c>
      <c r="G642" s="11" t="s">
        <v>2072</v>
      </c>
      <c r="H642" s="9" t="s">
        <v>189</v>
      </c>
      <c r="I642" s="9" t="s">
        <v>190</v>
      </c>
      <c r="J642" s="9" t="s">
        <v>2104</v>
      </c>
    </row>
    <row r="643" spans="1:10">
      <c r="A643" s="8">
        <v>60018</v>
      </c>
      <c r="B643" s="10" t="s">
        <v>1939</v>
      </c>
      <c r="C643" s="11" t="s">
        <v>989</v>
      </c>
      <c r="D643" s="11" t="s">
        <v>2777</v>
      </c>
      <c r="E643" s="11">
        <v>1027.3900000000001</v>
      </c>
      <c r="F643" s="11" t="s">
        <v>496</v>
      </c>
      <c r="G643" s="11" t="s">
        <v>2072</v>
      </c>
      <c r="H643" s="9" t="s">
        <v>115</v>
      </c>
      <c r="I643" s="9" t="s">
        <v>116</v>
      </c>
      <c r="J643" s="9" t="s">
        <v>2073</v>
      </c>
    </row>
    <row r="644" spans="1:10">
      <c r="A644" s="8">
        <v>63597</v>
      </c>
      <c r="B644" s="10" t="s">
        <v>1940</v>
      </c>
      <c r="C644" s="11" t="s">
        <v>1215</v>
      </c>
      <c r="D644" s="11" t="s">
        <v>2960</v>
      </c>
      <c r="E644" s="11">
        <v>1520.04</v>
      </c>
      <c r="F644" s="11" t="s">
        <v>155</v>
      </c>
      <c r="G644" s="11" t="s">
        <v>2094</v>
      </c>
      <c r="H644" s="9" t="s">
        <v>146</v>
      </c>
      <c r="I644" s="9" t="s">
        <v>4</v>
      </c>
      <c r="J644" s="9" t="s">
        <v>2073</v>
      </c>
    </row>
    <row r="645" spans="1:10">
      <c r="A645" s="8">
        <v>4082</v>
      </c>
      <c r="B645" s="10" t="s">
        <v>1941</v>
      </c>
      <c r="C645" s="11" t="s">
        <v>991</v>
      </c>
      <c r="D645" s="11" t="s">
        <v>2451</v>
      </c>
      <c r="E645" s="11">
        <v>737.88</v>
      </c>
      <c r="F645" s="11" t="s">
        <v>129</v>
      </c>
      <c r="G645" s="11" t="s">
        <v>2072</v>
      </c>
      <c r="H645" s="9" t="s">
        <v>146</v>
      </c>
      <c r="I645" s="9" t="s">
        <v>4</v>
      </c>
      <c r="J645" s="9" t="s">
        <v>2073</v>
      </c>
    </row>
    <row r="646" spans="1:10">
      <c r="A646" s="8">
        <v>55526</v>
      </c>
      <c r="B646" s="10" t="s">
        <v>1942</v>
      </c>
      <c r="C646" s="11" t="s">
        <v>992</v>
      </c>
      <c r="D646" s="11" t="s">
        <v>2733</v>
      </c>
      <c r="E646" s="11">
        <v>1520.04</v>
      </c>
      <c r="F646" s="11" t="s">
        <v>155</v>
      </c>
      <c r="G646" s="11" t="s">
        <v>2072</v>
      </c>
      <c r="H646" s="9" t="s">
        <v>178</v>
      </c>
      <c r="I646" s="9" t="s">
        <v>179</v>
      </c>
      <c r="J646" s="9" t="s">
        <v>2073</v>
      </c>
    </row>
    <row r="647" spans="1:10">
      <c r="A647" s="8">
        <v>63995</v>
      </c>
      <c r="B647" s="10" t="s">
        <v>1943</v>
      </c>
      <c r="C647" s="11" t="s">
        <v>1244</v>
      </c>
      <c r="D647" s="11" t="s">
        <v>2816</v>
      </c>
      <c r="E647" s="11">
        <v>1093.3699999999999</v>
      </c>
      <c r="F647" s="11" t="s">
        <v>117</v>
      </c>
      <c r="G647" s="11" t="s">
        <v>2072</v>
      </c>
      <c r="H647" s="9" t="s">
        <v>146</v>
      </c>
      <c r="I647" s="9" t="s">
        <v>4</v>
      </c>
      <c r="J647" s="9" t="s">
        <v>2073</v>
      </c>
    </row>
    <row r="648" spans="1:10">
      <c r="A648" s="8">
        <v>51542</v>
      </c>
      <c r="B648" s="10" t="s">
        <v>1944</v>
      </c>
      <c r="C648" s="11" t="s">
        <v>993</v>
      </c>
      <c r="D648" s="11" t="s">
        <v>2669</v>
      </c>
      <c r="E648" s="11">
        <v>737.88</v>
      </c>
      <c r="F648" s="11" t="s">
        <v>122</v>
      </c>
      <c r="G648" s="11" t="s">
        <v>2074</v>
      </c>
      <c r="H648" s="9" t="s">
        <v>569</v>
      </c>
      <c r="I648" s="9" t="s">
        <v>56</v>
      </c>
      <c r="J648" s="9" t="s">
        <v>2089</v>
      </c>
    </row>
    <row r="649" spans="1:10">
      <c r="A649" s="8">
        <v>38152</v>
      </c>
      <c r="B649" s="10" t="s">
        <v>1945</v>
      </c>
      <c r="C649" s="11" t="s">
        <v>994</v>
      </c>
      <c r="D649" s="11" t="s">
        <v>2589</v>
      </c>
      <c r="E649" s="11">
        <v>1520.05</v>
      </c>
      <c r="F649" s="11" t="s">
        <v>155</v>
      </c>
      <c r="G649" s="11" t="s">
        <v>2072</v>
      </c>
      <c r="H649" s="9" t="s">
        <v>115</v>
      </c>
      <c r="I649" s="9" t="s">
        <v>116</v>
      </c>
      <c r="J649" s="9" t="s">
        <v>2073</v>
      </c>
    </row>
    <row r="650" spans="1:10">
      <c r="A650" s="8">
        <v>40964</v>
      </c>
      <c r="B650" s="10" t="s">
        <v>926</v>
      </c>
      <c r="C650" s="11" t="s">
        <v>995</v>
      </c>
      <c r="D650" s="11" t="s">
        <v>2961</v>
      </c>
      <c r="E650" s="11">
        <v>1520.05</v>
      </c>
      <c r="F650" s="11" t="s">
        <v>155</v>
      </c>
      <c r="G650" s="11" t="s">
        <v>2094</v>
      </c>
      <c r="H650" s="9" t="s">
        <v>374</v>
      </c>
      <c r="I650" s="9" t="s">
        <v>375</v>
      </c>
      <c r="J650" s="9" t="s">
        <v>2118</v>
      </c>
    </row>
    <row r="651" spans="1:10">
      <c r="A651" s="8">
        <v>68616</v>
      </c>
      <c r="B651" s="10" t="s">
        <v>2352</v>
      </c>
      <c r="C651" s="11" t="s">
        <v>1319</v>
      </c>
      <c r="D651" s="11" t="s">
        <v>2641</v>
      </c>
      <c r="E651" s="11">
        <v>822.96</v>
      </c>
      <c r="F651" s="11" t="s">
        <v>133</v>
      </c>
      <c r="G651" s="11" t="s">
        <v>2072</v>
      </c>
      <c r="H651" s="9" t="s">
        <v>150</v>
      </c>
      <c r="I651" s="9" t="s">
        <v>151</v>
      </c>
      <c r="J651" s="9" t="s">
        <v>2135</v>
      </c>
    </row>
    <row r="652" spans="1:10">
      <c r="A652" s="8">
        <v>44102</v>
      </c>
      <c r="B652" s="10" t="s">
        <v>836</v>
      </c>
      <c r="C652" s="11" t="s">
        <v>996</v>
      </c>
      <c r="D652" s="11" t="s">
        <v>2962</v>
      </c>
      <c r="E652" s="11">
        <v>178.59</v>
      </c>
      <c r="F652" s="11" t="s">
        <v>129</v>
      </c>
      <c r="G652" s="11" t="s">
        <v>2072</v>
      </c>
      <c r="H652" s="9" t="s">
        <v>834</v>
      </c>
      <c r="I652" s="9" t="s">
        <v>835</v>
      </c>
      <c r="J652" s="9" t="s">
        <v>2123</v>
      </c>
    </row>
    <row r="653" spans="1:10">
      <c r="A653" s="8">
        <v>4115</v>
      </c>
      <c r="B653" s="10" t="s">
        <v>1946</v>
      </c>
      <c r="C653" s="11" t="s">
        <v>997</v>
      </c>
      <c r="D653" s="11" t="s">
        <v>2451</v>
      </c>
      <c r="E653" s="11">
        <v>822.96</v>
      </c>
      <c r="F653" s="11" t="s">
        <v>133</v>
      </c>
      <c r="G653" s="11" t="s">
        <v>2072</v>
      </c>
      <c r="H653" s="9" t="s">
        <v>243</v>
      </c>
      <c r="I653" s="9" t="s">
        <v>244</v>
      </c>
      <c r="J653" s="9" t="s">
        <v>2073</v>
      </c>
    </row>
    <row r="654" spans="1:10">
      <c r="A654" s="8">
        <v>49169</v>
      </c>
      <c r="B654" s="10" t="s">
        <v>452</v>
      </c>
      <c r="C654" s="11" t="s">
        <v>998</v>
      </c>
      <c r="D654" s="11" t="s">
        <v>2647</v>
      </c>
      <c r="E654" s="11">
        <v>357.13</v>
      </c>
      <c r="F654" s="11" t="s">
        <v>129</v>
      </c>
      <c r="G654" s="11" t="s">
        <v>2072</v>
      </c>
      <c r="H654" s="9" t="s">
        <v>450</v>
      </c>
      <c r="I654" s="9" t="s">
        <v>451</v>
      </c>
      <c r="J654" s="9" t="s">
        <v>2130</v>
      </c>
    </row>
    <row r="655" spans="1:10">
      <c r="A655" s="8">
        <v>15225</v>
      </c>
      <c r="B655" s="10" t="s">
        <v>1947</v>
      </c>
      <c r="C655" s="11" t="s">
        <v>999</v>
      </c>
      <c r="D655" s="11" t="s">
        <v>2495</v>
      </c>
      <c r="E655" s="11">
        <v>737.88</v>
      </c>
      <c r="F655" s="11" t="s">
        <v>129</v>
      </c>
      <c r="G655" s="11" t="s">
        <v>2072</v>
      </c>
      <c r="H655" s="9" t="s">
        <v>277</v>
      </c>
      <c r="I655" s="9" t="s">
        <v>53</v>
      </c>
      <c r="J655" s="9" t="s">
        <v>2075</v>
      </c>
    </row>
    <row r="656" spans="1:10">
      <c r="A656" s="8">
        <v>68308</v>
      </c>
      <c r="B656" s="10" t="s">
        <v>2282</v>
      </c>
      <c r="C656" s="11" t="s">
        <v>2283</v>
      </c>
      <c r="D656" s="11" t="s">
        <v>2873</v>
      </c>
      <c r="E656" s="11">
        <v>723.21</v>
      </c>
      <c r="F656" s="11" t="s">
        <v>129</v>
      </c>
      <c r="G656" s="11" t="s">
        <v>2085</v>
      </c>
      <c r="H656" s="9" t="s">
        <v>220</v>
      </c>
      <c r="I656" s="9" t="s">
        <v>61</v>
      </c>
      <c r="J656" s="9" t="s">
        <v>2093</v>
      </c>
    </row>
    <row r="657" spans="1:10">
      <c r="A657" s="8">
        <v>64370</v>
      </c>
      <c r="B657" s="10" t="s">
        <v>1948</v>
      </c>
      <c r="C657" s="11" t="s">
        <v>1300</v>
      </c>
      <c r="D657" s="11" t="s">
        <v>2822</v>
      </c>
      <c r="E657" s="11">
        <v>184.47</v>
      </c>
      <c r="F657" s="11" t="s">
        <v>129</v>
      </c>
      <c r="G657" s="11" t="s">
        <v>2072</v>
      </c>
      <c r="H657" s="9" t="s">
        <v>1245</v>
      </c>
      <c r="I657" s="9" t="s">
        <v>1246</v>
      </c>
      <c r="J657" s="9" t="s">
        <v>2963</v>
      </c>
    </row>
    <row r="658" spans="1:10">
      <c r="A658" s="8">
        <v>61824</v>
      </c>
      <c r="B658" s="10" t="s">
        <v>1949</v>
      </c>
      <c r="C658" s="11" t="s">
        <v>1187</v>
      </c>
      <c r="D658" s="11" t="s">
        <v>2802</v>
      </c>
      <c r="E658" s="11">
        <v>737.88</v>
      </c>
      <c r="F658" s="11" t="s">
        <v>129</v>
      </c>
      <c r="G658" s="11" t="s">
        <v>2072</v>
      </c>
      <c r="H658" s="9" t="s">
        <v>212</v>
      </c>
      <c r="I658" s="9" t="s">
        <v>213</v>
      </c>
      <c r="J658" s="9" t="s">
        <v>2073</v>
      </c>
    </row>
    <row r="659" spans="1:10">
      <c r="A659" s="8">
        <v>56021</v>
      </c>
      <c r="B659" s="10" t="s">
        <v>1491</v>
      </c>
      <c r="C659" s="11" t="s">
        <v>31</v>
      </c>
      <c r="D659" s="11" t="s">
        <v>2413</v>
      </c>
      <c r="E659" s="11">
        <v>2110.38</v>
      </c>
      <c r="F659" s="11" t="s">
        <v>0</v>
      </c>
      <c r="G659" s="11" t="s">
        <v>2072</v>
      </c>
      <c r="H659" s="9" t="s">
        <v>306</v>
      </c>
      <c r="I659" s="9" t="s">
        <v>307</v>
      </c>
      <c r="J659" s="9" t="s">
        <v>2073</v>
      </c>
    </row>
    <row r="660" spans="1:10">
      <c r="A660" s="8">
        <v>49615</v>
      </c>
      <c r="B660" s="10" t="s">
        <v>1000</v>
      </c>
      <c r="C660" s="11" t="s">
        <v>1001</v>
      </c>
      <c r="D660" s="11" t="s">
        <v>2924</v>
      </c>
      <c r="E660" s="11">
        <v>878.5</v>
      </c>
      <c r="F660" s="11" t="s">
        <v>113</v>
      </c>
      <c r="G660" s="11" t="s">
        <v>2072</v>
      </c>
      <c r="H660" s="9" t="s">
        <v>615</v>
      </c>
      <c r="I660" s="9" t="s">
        <v>616</v>
      </c>
      <c r="J660" s="9" t="s">
        <v>2132</v>
      </c>
    </row>
    <row r="661" spans="1:10">
      <c r="A661" s="8">
        <v>54322</v>
      </c>
      <c r="B661" s="10" t="s">
        <v>1950</v>
      </c>
      <c r="C661" s="11" t="s">
        <v>1002</v>
      </c>
      <c r="D661" s="11" t="s">
        <v>2694</v>
      </c>
      <c r="E661" s="11">
        <v>737.88</v>
      </c>
      <c r="F661" s="11" t="s">
        <v>129</v>
      </c>
      <c r="G661" s="11" t="s">
        <v>2074</v>
      </c>
      <c r="H661" s="9" t="s">
        <v>169</v>
      </c>
      <c r="I661" s="9" t="s">
        <v>66</v>
      </c>
      <c r="J661" s="9" t="s">
        <v>2088</v>
      </c>
    </row>
    <row r="662" spans="1:10">
      <c r="A662" s="8">
        <v>37689</v>
      </c>
      <c r="B662" s="10" t="s">
        <v>495</v>
      </c>
      <c r="C662" s="11" t="s">
        <v>1003</v>
      </c>
      <c r="D662" s="11" t="s">
        <v>2585</v>
      </c>
      <c r="E662" s="11">
        <v>584.38</v>
      </c>
      <c r="F662" s="11" t="s">
        <v>129</v>
      </c>
      <c r="G662" s="11" t="s">
        <v>2072</v>
      </c>
      <c r="H662" s="9" t="s">
        <v>493</v>
      </c>
      <c r="I662" s="9" t="s">
        <v>494</v>
      </c>
      <c r="J662" s="9" t="s">
        <v>2087</v>
      </c>
    </row>
    <row r="663" spans="1:10">
      <c r="A663" s="8">
        <v>57785</v>
      </c>
      <c r="B663" s="10" t="s">
        <v>1951</v>
      </c>
      <c r="C663" s="11" t="s">
        <v>1005</v>
      </c>
      <c r="D663" s="11" t="s">
        <v>2750</v>
      </c>
      <c r="E663" s="11">
        <v>737.88</v>
      </c>
      <c r="F663" s="11" t="s">
        <v>129</v>
      </c>
      <c r="G663" s="11" t="s">
        <v>2085</v>
      </c>
      <c r="H663" s="9" t="s">
        <v>146</v>
      </c>
      <c r="I663" s="9" t="s">
        <v>4</v>
      </c>
      <c r="J663" s="9" t="s">
        <v>2073</v>
      </c>
    </row>
    <row r="664" spans="1:10">
      <c r="A664" s="8">
        <v>9841</v>
      </c>
      <c r="B664" s="10" t="s">
        <v>1952</v>
      </c>
      <c r="C664" s="11" t="s">
        <v>1007</v>
      </c>
      <c r="D664" s="11" t="s">
        <v>2484</v>
      </c>
      <c r="E664" s="11">
        <v>1520.05</v>
      </c>
      <c r="F664" s="11" t="s">
        <v>155</v>
      </c>
      <c r="G664" s="11" t="s">
        <v>2072</v>
      </c>
      <c r="H664" s="9" t="s">
        <v>212</v>
      </c>
      <c r="I664" s="9" t="s">
        <v>213</v>
      </c>
      <c r="J664" s="9" t="s">
        <v>2073</v>
      </c>
    </row>
    <row r="665" spans="1:10">
      <c r="A665" s="8">
        <v>54461</v>
      </c>
      <c r="B665" s="10" t="s">
        <v>990</v>
      </c>
      <c r="C665" s="11" t="s">
        <v>1008</v>
      </c>
      <c r="D665" s="11" t="s">
        <v>2713</v>
      </c>
      <c r="E665" s="11">
        <v>955.14</v>
      </c>
      <c r="F665" s="11" t="s">
        <v>113</v>
      </c>
      <c r="G665" s="11" t="s">
        <v>2072</v>
      </c>
      <c r="H665" s="9" t="s">
        <v>537</v>
      </c>
      <c r="I665" s="9" t="s">
        <v>538</v>
      </c>
      <c r="J665" s="9" t="s">
        <v>2148</v>
      </c>
    </row>
    <row r="666" spans="1:10">
      <c r="A666" s="8">
        <v>66419</v>
      </c>
      <c r="B666" s="10" t="s">
        <v>1953</v>
      </c>
      <c r="C666" s="11" t="s">
        <v>1327</v>
      </c>
      <c r="D666" s="11" t="s">
        <v>2846</v>
      </c>
      <c r="E666" s="11">
        <v>808.05</v>
      </c>
      <c r="F666" s="11" t="s">
        <v>166</v>
      </c>
      <c r="G666" s="11" t="s">
        <v>2072</v>
      </c>
      <c r="H666" s="9" t="s">
        <v>212</v>
      </c>
      <c r="I666" s="9" t="s">
        <v>213</v>
      </c>
      <c r="J666" s="9" t="s">
        <v>2073</v>
      </c>
    </row>
    <row r="667" spans="1:10">
      <c r="A667" s="8">
        <v>54260</v>
      </c>
      <c r="B667" s="10" t="s">
        <v>1009</v>
      </c>
      <c r="C667" s="11" t="s">
        <v>1010</v>
      </c>
      <c r="D667" s="11" t="s">
        <v>2710</v>
      </c>
      <c r="E667" s="11">
        <v>878.5</v>
      </c>
      <c r="F667" s="11" t="s">
        <v>113</v>
      </c>
      <c r="G667" s="11" t="s">
        <v>2072</v>
      </c>
      <c r="H667" s="9" t="s">
        <v>903</v>
      </c>
      <c r="I667" s="9" t="s">
        <v>88</v>
      </c>
      <c r="J667" s="9" t="s">
        <v>2140</v>
      </c>
    </row>
    <row r="668" spans="1:10">
      <c r="A668" s="8">
        <v>66356</v>
      </c>
      <c r="B668" s="10" t="s">
        <v>1954</v>
      </c>
      <c r="C668" s="11" t="s">
        <v>1324</v>
      </c>
      <c r="D668" s="11" t="s">
        <v>2845</v>
      </c>
      <c r="E668" s="11">
        <v>737.88</v>
      </c>
      <c r="F668" s="11" t="s">
        <v>122</v>
      </c>
      <c r="G668" s="11" t="s">
        <v>2072</v>
      </c>
      <c r="H668" s="9" t="s">
        <v>212</v>
      </c>
      <c r="I668" s="9" t="s">
        <v>213</v>
      </c>
      <c r="J668" s="9" t="s">
        <v>2073</v>
      </c>
    </row>
    <row r="669" spans="1:10">
      <c r="A669" s="8">
        <v>67763</v>
      </c>
      <c r="B669" s="10" t="s">
        <v>2234</v>
      </c>
      <c r="C669" s="11" t="s">
        <v>2235</v>
      </c>
      <c r="D669" s="11" t="s">
        <v>2864</v>
      </c>
      <c r="E669" s="11">
        <v>737.88</v>
      </c>
      <c r="F669" s="11" t="s">
        <v>122</v>
      </c>
      <c r="G669" s="11" t="s">
        <v>2072</v>
      </c>
      <c r="H669" s="9" t="s">
        <v>366</v>
      </c>
      <c r="I669" s="9" t="s">
        <v>367</v>
      </c>
      <c r="J669" s="9" t="s">
        <v>2073</v>
      </c>
    </row>
    <row r="670" spans="1:10">
      <c r="A670" s="8">
        <v>15407</v>
      </c>
      <c r="B670" s="10" t="s">
        <v>1955</v>
      </c>
      <c r="C670" s="11" t="s">
        <v>1012</v>
      </c>
      <c r="D670" s="11" t="s">
        <v>2964</v>
      </c>
      <c r="E670" s="11">
        <v>1520.04</v>
      </c>
      <c r="F670" s="11" t="s">
        <v>155</v>
      </c>
      <c r="G670" s="11" t="s">
        <v>2074</v>
      </c>
      <c r="H670" s="9" t="s">
        <v>115</v>
      </c>
      <c r="I670" s="9" t="s">
        <v>116</v>
      </c>
      <c r="J670" s="9" t="s">
        <v>2073</v>
      </c>
    </row>
    <row r="671" spans="1:10">
      <c r="A671" s="8">
        <v>48988</v>
      </c>
      <c r="B671" s="10" t="s">
        <v>646</v>
      </c>
      <c r="C671" s="11" t="s">
        <v>1013</v>
      </c>
      <c r="D671" s="11" t="s">
        <v>2644</v>
      </c>
      <c r="E671" s="11">
        <v>737.88</v>
      </c>
      <c r="F671" s="11" t="s">
        <v>129</v>
      </c>
      <c r="G671" s="11" t="s">
        <v>2074</v>
      </c>
      <c r="H671" s="9" t="s">
        <v>277</v>
      </c>
      <c r="I671" s="9" t="s">
        <v>53</v>
      </c>
      <c r="J671" s="9" t="s">
        <v>2075</v>
      </c>
    </row>
    <row r="672" spans="1:10">
      <c r="A672" s="8">
        <v>68454</v>
      </c>
      <c r="B672" s="10" t="s">
        <v>2284</v>
      </c>
      <c r="C672" s="11" t="s">
        <v>2285</v>
      </c>
      <c r="D672" s="11" t="s">
        <v>2866</v>
      </c>
      <c r="E672" s="11">
        <v>737.88</v>
      </c>
      <c r="F672" s="11" t="s">
        <v>129</v>
      </c>
      <c r="G672" s="11" t="s">
        <v>2072</v>
      </c>
      <c r="H672" s="9" t="s">
        <v>366</v>
      </c>
      <c r="I672" s="9" t="s">
        <v>367</v>
      </c>
      <c r="J672" s="9" t="s">
        <v>2073</v>
      </c>
    </row>
    <row r="673" spans="1:10">
      <c r="A673" s="8">
        <v>35348</v>
      </c>
      <c r="B673" s="10" t="s">
        <v>1956</v>
      </c>
      <c r="C673" s="11" t="s">
        <v>1014</v>
      </c>
      <c r="D673" s="11" t="s">
        <v>2576</v>
      </c>
      <c r="E673" s="11">
        <v>1520.04</v>
      </c>
      <c r="F673" s="11" t="s">
        <v>155</v>
      </c>
      <c r="G673" s="11" t="s">
        <v>2072</v>
      </c>
      <c r="H673" s="9" t="s">
        <v>153</v>
      </c>
      <c r="I673" s="9" t="s">
        <v>154</v>
      </c>
      <c r="J673" s="9" t="s">
        <v>2073</v>
      </c>
    </row>
    <row r="674" spans="1:10">
      <c r="A674" s="8">
        <v>64117</v>
      </c>
      <c r="B674" s="10" t="s">
        <v>1957</v>
      </c>
      <c r="C674" s="11" t="s">
        <v>1247</v>
      </c>
      <c r="D674" s="11" t="s">
        <v>2816</v>
      </c>
      <c r="E674" s="11">
        <v>878.5</v>
      </c>
      <c r="F674" s="11" t="s">
        <v>113</v>
      </c>
      <c r="G674" s="11" t="s">
        <v>2072</v>
      </c>
      <c r="H674" s="9" t="s">
        <v>558</v>
      </c>
      <c r="I674" s="9" t="s">
        <v>559</v>
      </c>
      <c r="J674" s="9" t="s">
        <v>2164</v>
      </c>
    </row>
    <row r="675" spans="1:10">
      <c r="A675" s="8">
        <v>59498</v>
      </c>
      <c r="B675" s="10" t="s">
        <v>1958</v>
      </c>
      <c r="C675" s="11" t="s">
        <v>1015</v>
      </c>
      <c r="D675" s="11" t="s">
        <v>2771</v>
      </c>
      <c r="E675" s="11">
        <v>1093.3699999999999</v>
      </c>
      <c r="F675" s="11" t="s">
        <v>117</v>
      </c>
      <c r="G675" s="11" t="s">
        <v>2072</v>
      </c>
      <c r="H675" s="9" t="s">
        <v>146</v>
      </c>
      <c r="I675" s="9" t="s">
        <v>4</v>
      </c>
      <c r="J675" s="9" t="s">
        <v>2073</v>
      </c>
    </row>
    <row r="676" spans="1:10">
      <c r="A676" s="8">
        <v>3082</v>
      </c>
      <c r="B676" s="10" t="s">
        <v>1016</v>
      </c>
      <c r="C676" s="11" t="s">
        <v>1017</v>
      </c>
      <c r="D676" s="11" t="s">
        <v>2448</v>
      </c>
      <c r="E676" s="11">
        <v>955.15</v>
      </c>
      <c r="F676" s="11" t="s">
        <v>113</v>
      </c>
      <c r="G676" s="11" t="s">
        <v>2072</v>
      </c>
      <c r="H676" s="9" t="s">
        <v>331</v>
      </c>
      <c r="I676" s="9" t="s">
        <v>332</v>
      </c>
      <c r="J676" s="9" t="s">
        <v>2073</v>
      </c>
    </row>
    <row r="677" spans="1:10">
      <c r="A677" s="8">
        <v>56003</v>
      </c>
      <c r="B677" s="10" t="s">
        <v>1492</v>
      </c>
      <c r="C677" s="11" t="s">
        <v>32</v>
      </c>
      <c r="D677" s="11" t="s">
        <v>2413</v>
      </c>
      <c r="E677" s="11">
        <v>2110.38</v>
      </c>
      <c r="F677" s="11" t="s">
        <v>0</v>
      </c>
      <c r="G677" s="11" t="s">
        <v>2072</v>
      </c>
      <c r="H677" s="9" t="s">
        <v>306</v>
      </c>
      <c r="I677" s="9" t="s">
        <v>307</v>
      </c>
      <c r="J677" s="9" t="s">
        <v>2073</v>
      </c>
    </row>
    <row r="678" spans="1:10">
      <c r="A678" s="8">
        <v>64924</v>
      </c>
      <c r="B678" s="10" t="s">
        <v>1959</v>
      </c>
      <c r="C678" s="11" t="s">
        <v>1018</v>
      </c>
      <c r="D678" s="11" t="s">
        <v>2965</v>
      </c>
      <c r="E678" s="11">
        <v>714.24</v>
      </c>
      <c r="F678" s="11" t="s">
        <v>122</v>
      </c>
      <c r="G678" s="11" t="s">
        <v>2072</v>
      </c>
      <c r="H678" s="9" t="s">
        <v>972</v>
      </c>
      <c r="I678" s="9" t="s">
        <v>973</v>
      </c>
      <c r="J678" s="9" t="s">
        <v>2133</v>
      </c>
    </row>
    <row r="679" spans="1:10">
      <c r="A679" s="8">
        <v>33975</v>
      </c>
      <c r="B679" s="10" t="s">
        <v>879</v>
      </c>
      <c r="C679" s="11" t="s">
        <v>1019</v>
      </c>
      <c r="D679" s="11" t="s">
        <v>2572</v>
      </c>
      <c r="E679" s="11">
        <v>1093.3699999999999</v>
      </c>
      <c r="F679" s="11" t="s">
        <v>117</v>
      </c>
      <c r="G679" s="11" t="s">
        <v>2072</v>
      </c>
      <c r="H679" s="9" t="s">
        <v>146</v>
      </c>
      <c r="I679" s="9" t="s">
        <v>4</v>
      </c>
      <c r="J679" s="9" t="s">
        <v>2073</v>
      </c>
    </row>
    <row r="680" spans="1:10">
      <c r="A680" s="8">
        <v>45992</v>
      </c>
      <c r="B680" s="10" t="s">
        <v>1960</v>
      </c>
      <c r="C680" s="11" t="s">
        <v>1020</v>
      </c>
      <c r="D680" s="11" t="s">
        <v>2617</v>
      </c>
      <c r="E680" s="11">
        <v>1520.04</v>
      </c>
      <c r="F680" s="11" t="s">
        <v>155</v>
      </c>
      <c r="G680" s="11" t="s">
        <v>2072</v>
      </c>
      <c r="H680" s="9" t="s">
        <v>248</v>
      </c>
      <c r="I680" s="9" t="s">
        <v>249</v>
      </c>
      <c r="J680" s="9" t="s">
        <v>2073</v>
      </c>
    </row>
    <row r="681" spans="1:10">
      <c r="A681" s="8">
        <v>54462</v>
      </c>
      <c r="B681" s="10" t="s">
        <v>1961</v>
      </c>
      <c r="C681" s="11" t="s">
        <v>1021</v>
      </c>
      <c r="D681" s="11" t="s">
        <v>2713</v>
      </c>
      <c r="E681" s="11">
        <v>955.14</v>
      </c>
      <c r="F681" s="11" t="s">
        <v>113</v>
      </c>
      <c r="G681" s="11" t="s">
        <v>2072</v>
      </c>
      <c r="H681" s="9" t="s">
        <v>537</v>
      </c>
      <c r="I681" s="9" t="s">
        <v>538</v>
      </c>
      <c r="J681" s="9" t="s">
        <v>2148</v>
      </c>
    </row>
    <row r="682" spans="1:10">
      <c r="A682" s="8">
        <v>48403</v>
      </c>
      <c r="B682" s="10" t="s">
        <v>1962</v>
      </c>
      <c r="C682" s="11" t="s">
        <v>1022</v>
      </c>
      <c r="D682" s="11" t="s">
        <v>2634</v>
      </c>
      <c r="E682" s="11">
        <v>737.88</v>
      </c>
      <c r="F682" s="11" t="s">
        <v>122</v>
      </c>
      <c r="G682" s="11" t="s">
        <v>2072</v>
      </c>
      <c r="H682" s="9" t="s">
        <v>234</v>
      </c>
      <c r="I682" s="9" t="s">
        <v>235</v>
      </c>
      <c r="J682" s="9" t="s">
        <v>2073</v>
      </c>
    </row>
    <row r="683" spans="1:10">
      <c r="A683" s="8">
        <v>67390</v>
      </c>
      <c r="B683" s="10" t="s">
        <v>1963</v>
      </c>
      <c r="C683" s="11" t="s">
        <v>1964</v>
      </c>
      <c r="D683" s="11" t="s">
        <v>2765</v>
      </c>
      <c r="E683" s="11">
        <v>1228.51</v>
      </c>
      <c r="F683" s="11" t="s">
        <v>308</v>
      </c>
      <c r="G683" s="11" t="s">
        <v>2072</v>
      </c>
      <c r="H683" s="9" t="s">
        <v>131</v>
      </c>
      <c r="I683" s="9" t="s">
        <v>132</v>
      </c>
      <c r="J683" s="9" t="s">
        <v>2073</v>
      </c>
    </row>
    <row r="684" spans="1:10">
      <c r="A684" s="8">
        <v>52248</v>
      </c>
      <c r="B684" s="10" t="s">
        <v>1965</v>
      </c>
      <c r="C684" s="11" t="s">
        <v>1023</v>
      </c>
      <c r="D684" s="11" t="s">
        <v>2681</v>
      </c>
      <c r="E684" s="11">
        <v>737.88</v>
      </c>
      <c r="F684" s="11" t="s">
        <v>122</v>
      </c>
      <c r="G684" s="11" t="s">
        <v>2072</v>
      </c>
      <c r="H684" s="9" t="s">
        <v>248</v>
      </c>
      <c r="I684" s="9" t="s">
        <v>249</v>
      </c>
      <c r="J684" s="9" t="s">
        <v>2073</v>
      </c>
    </row>
    <row r="685" spans="1:10">
      <c r="A685" s="8">
        <v>48634</v>
      </c>
      <c r="B685" s="10" t="s">
        <v>1966</v>
      </c>
      <c r="C685" s="11" t="s">
        <v>1024</v>
      </c>
      <c r="D685" s="11" t="s">
        <v>2639</v>
      </c>
      <c r="E685" s="11">
        <v>737.88</v>
      </c>
      <c r="F685" s="11" t="s">
        <v>122</v>
      </c>
      <c r="G685" s="11" t="s">
        <v>2074</v>
      </c>
      <c r="H685" s="9" t="s">
        <v>115</v>
      </c>
      <c r="I685" s="9" t="s">
        <v>116</v>
      </c>
      <c r="J685" s="9" t="s">
        <v>2073</v>
      </c>
    </row>
    <row r="686" spans="1:10">
      <c r="A686" s="8">
        <v>48438</v>
      </c>
      <c r="B686" s="10" t="s">
        <v>525</v>
      </c>
      <c r="C686" s="11" t="s">
        <v>1025</v>
      </c>
      <c r="D686" s="11" t="s">
        <v>2636</v>
      </c>
      <c r="E686" s="11">
        <v>357.13</v>
      </c>
      <c r="F686" s="11" t="s">
        <v>129</v>
      </c>
      <c r="G686" s="11" t="s">
        <v>2074</v>
      </c>
      <c r="H686" s="9" t="s">
        <v>523</v>
      </c>
      <c r="I686" s="9" t="s">
        <v>524</v>
      </c>
      <c r="J686" s="9" t="s">
        <v>2129</v>
      </c>
    </row>
    <row r="687" spans="1:10">
      <c r="A687" s="8">
        <v>6095</v>
      </c>
      <c r="B687" s="10" t="s">
        <v>1967</v>
      </c>
      <c r="C687" s="11" t="s">
        <v>1026</v>
      </c>
      <c r="D687" s="11" t="s">
        <v>2461</v>
      </c>
      <c r="E687" s="11">
        <v>955.15</v>
      </c>
      <c r="F687" s="11" t="s">
        <v>113</v>
      </c>
      <c r="G687" s="11" t="s">
        <v>2072</v>
      </c>
      <c r="H687" s="9" t="s">
        <v>248</v>
      </c>
      <c r="I687" s="9" t="s">
        <v>249</v>
      </c>
      <c r="J687" s="9" t="s">
        <v>2073</v>
      </c>
    </row>
    <row r="688" spans="1:10">
      <c r="A688" s="8">
        <v>40275</v>
      </c>
      <c r="B688" s="10" t="s">
        <v>1968</v>
      </c>
      <c r="C688" s="11" t="s">
        <v>1027</v>
      </c>
      <c r="D688" s="11" t="s">
        <v>2595</v>
      </c>
      <c r="E688" s="11">
        <v>822.96</v>
      </c>
      <c r="F688" s="11" t="s">
        <v>133</v>
      </c>
      <c r="G688" s="11" t="s">
        <v>2072</v>
      </c>
      <c r="H688" s="9" t="s">
        <v>211</v>
      </c>
      <c r="I688" s="9" t="s">
        <v>93</v>
      </c>
      <c r="J688" s="9" t="s">
        <v>2080</v>
      </c>
    </row>
    <row r="689" spans="1:10">
      <c r="A689" s="8">
        <v>30741</v>
      </c>
      <c r="B689" s="10" t="s">
        <v>702</v>
      </c>
      <c r="C689" s="11" t="s">
        <v>1028</v>
      </c>
      <c r="D689" s="11" t="s">
        <v>2891</v>
      </c>
      <c r="E689" s="11">
        <v>878.5</v>
      </c>
      <c r="F689" s="11" t="s">
        <v>113</v>
      </c>
      <c r="G689" s="11" t="s">
        <v>2072</v>
      </c>
      <c r="H689" s="9" t="s">
        <v>135</v>
      </c>
      <c r="I689" s="9" t="s">
        <v>84</v>
      </c>
      <c r="J689" s="9" t="s">
        <v>2104</v>
      </c>
    </row>
    <row r="690" spans="1:10">
      <c r="A690" s="8">
        <v>68085</v>
      </c>
      <c r="B690" s="10" t="s">
        <v>2286</v>
      </c>
      <c r="C690" s="11" t="s">
        <v>2287</v>
      </c>
      <c r="D690" s="11" t="s">
        <v>2871</v>
      </c>
      <c r="E690" s="11">
        <v>822.96</v>
      </c>
      <c r="F690" s="11" t="s">
        <v>133</v>
      </c>
      <c r="G690" s="11" t="s">
        <v>2072</v>
      </c>
      <c r="H690" s="9" t="s">
        <v>115</v>
      </c>
      <c r="I690" s="9" t="s">
        <v>116</v>
      </c>
      <c r="J690" s="9" t="s">
        <v>2073</v>
      </c>
    </row>
    <row r="691" spans="1:10">
      <c r="A691" s="8">
        <v>41293</v>
      </c>
      <c r="B691" s="10" t="s">
        <v>255</v>
      </c>
      <c r="C691" s="11" t="s">
        <v>1030</v>
      </c>
      <c r="D691" s="11" t="s">
        <v>2600</v>
      </c>
      <c r="E691" s="11">
        <v>178.58</v>
      </c>
      <c r="F691" s="11" t="s">
        <v>129</v>
      </c>
      <c r="G691" s="11" t="s">
        <v>2072</v>
      </c>
      <c r="H691" s="9" t="s">
        <v>253</v>
      </c>
      <c r="I691" s="9" t="s">
        <v>254</v>
      </c>
      <c r="J691" s="9" t="s">
        <v>2119</v>
      </c>
    </row>
    <row r="692" spans="1:10">
      <c r="A692" s="8">
        <v>55215</v>
      </c>
      <c r="B692" s="10" t="s">
        <v>1969</v>
      </c>
      <c r="C692" s="11" t="s">
        <v>1031</v>
      </c>
      <c r="D692" s="11" t="s">
        <v>2726</v>
      </c>
      <c r="E692" s="11">
        <v>1228.51</v>
      </c>
      <c r="F692" s="11" t="s">
        <v>139</v>
      </c>
      <c r="G692" s="11" t="s">
        <v>2072</v>
      </c>
      <c r="H692" s="9" t="s">
        <v>146</v>
      </c>
      <c r="I692" s="9" t="s">
        <v>4</v>
      </c>
      <c r="J692" s="9" t="s">
        <v>2073</v>
      </c>
    </row>
    <row r="693" spans="1:10">
      <c r="A693" s="8">
        <v>56063</v>
      </c>
      <c r="B693" s="10" t="s">
        <v>1493</v>
      </c>
      <c r="C693" s="11" t="s">
        <v>33</v>
      </c>
      <c r="D693" s="11" t="s">
        <v>2413</v>
      </c>
      <c r="E693" s="11">
        <v>2110.38</v>
      </c>
      <c r="F693" s="11" t="s">
        <v>0</v>
      </c>
      <c r="G693" s="11" t="s">
        <v>2072</v>
      </c>
      <c r="H693" s="9" t="s">
        <v>306</v>
      </c>
      <c r="I693" s="9" t="s">
        <v>307</v>
      </c>
      <c r="J693" s="9" t="s">
        <v>2073</v>
      </c>
    </row>
    <row r="694" spans="1:10">
      <c r="A694" s="8">
        <v>56039</v>
      </c>
      <c r="B694" s="10" t="s">
        <v>1494</v>
      </c>
      <c r="C694" s="11" t="s">
        <v>34</v>
      </c>
      <c r="D694" s="11" t="s">
        <v>2413</v>
      </c>
      <c r="E694" s="11">
        <v>2110.38</v>
      </c>
      <c r="F694" s="11" t="s">
        <v>0</v>
      </c>
      <c r="G694" s="11" t="s">
        <v>2072</v>
      </c>
      <c r="H694" s="9" t="s">
        <v>306</v>
      </c>
      <c r="I694" s="9" t="s">
        <v>307</v>
      </c>
      <c r="J694" s="9" t="s">
        <v>2073</v>
      </c>
    </row>
    <row r="695" spans="1:10">
      <c r="A695" s="8">
        <v>46466</v>
      </c>
      <c r="B695" s="10" t="s">
        <v>899</v>
      </c>
      <c r="C695" s="11" t="s">
        <v>1032</v>
      </c>
      <c r="D695" s="11" t="s">
        <v>2620</v>
      </c>
      <c r="E695" s="11">
        <v>737.88</v>
      </c>
      <c r="F695" s="11" t="s">
        <v>129</v>
      </c>
      <c r="G695" s="11" t="s">
        <v>2072</v>
      </c>
      <c r="H695" s="9" t="s">
        <v>146</v>
      </c>
      <c r="I695" s="9" t="s">
        <v>4</v>
      </c>
      <c r="J695" s="9" t="s">
        <v>2073</v>
      </c>
    </row>
    <row r="696" spans="1:10">
      <c r="A696" s="8">
        <v>66617</v>
      </c>
      <c r="B696" s="10" t="s">
        <v>1970</v>
      </c>
      <c r="C696" s="11" t="s">
        <v>1330</v>
      </c>
      <c r="D696" s="11" t="s">
        <v>2849</v>
      </c>
      <c r="E696" s="11">
        <v>737.88</v>
      </c>
      <c r="F696" s="11" t="s">
        <v>258</v>
      </c>
      <c r="G696" s="11" t="s">
        <v>2072</v>
      </c>
      <c r="H696" s="9" t="s">
        <v>212</v>
      </c>
      <c r="I696" s="9" t="s">
        <v>213</v>
      </c>
      <c r="J696" s="9" t="s">
        <v>2073</v>
      </c>
    </row>
    <row r="697" spans="1:10">
      <c r="A697" s="8">
        <v>54320</v>
      </c>
      <c r="B697" s="10" t="s">
        <v>1301</v>
      </c>
      <c r="C697" s="11" t="s">
        <v>1033</v>
      </c>
      <c r="D697" s="11" t="s">
        <v>2710</v>
      </c>
      <c r="E697" s="11">
        <v>368.94</v>
      </c>
      <c r="F697" s="11" t="s">
        <v>129</v>
      </c>
      <c r="G697" s="11" t="s">
        <v>2072</v>
      </c>
      <c r="H697" s="9" t="s">
        <v>326</v>
      </c>
      <c r="I697" s="9" t="s">
        <v>327</v>
      </c>
      <c r="J697" s="9" t="s">
        <v>2079</v>
      </c>
    </row>
    <row r="698" spans="1:10">
      <c r="A698" s="8">
        <v>4047</v>
      </c>
      <c r="B698" s="10" t="s">
        <v>1971</v>
      </c>
      <c r="C698" s="11" t="s">
        <v>1034</v>
      </c>
      <c r="D698" s="11" t="s">
        <v>2451</v>
      </c>
      <c r="E698" s="11">
        <v>1228.51</v>
      </c>
      <c r="F698" s="11" t="s">
        <v>536</v>
      </c>
      <c r="G698" s="11" t="s">
        <v>2072</v>
      </c>
      <c r="H698" s="9" t="s">
        <v>115</v>
      </c>
      <c r="I698" s="9" t="s">
        <v>116</v>
      </c>
      <c r="J698" s="9" t="s">
        <v>2073</v>
      </c>
    </row>
    <row r="699" spans="1:10">
      <c r="A699" s="8">
        <v>14986</v>
      </c>
      <c r="B699" s="10" t="s">
        <v>1972</v>
      </c>
      <c r="C699" s="11" t="s">
        <v>1035</v>
      </c>
      <c r="D699" s="11" t="s">
        <v>2493</v>
      </c>
      <c r="E699" s="11">
        <v>955.14</v>
      </c>
      <c r="F699" s="11" t="s">
        <v>113</v>
      </c>
      <c r="G699" s="11" t="s">
        <v>2072</v>
      </c>
      <c r="H699" s="9" t="s">
        <v>234</v>
      </c>
      <c r="I699" s="9" t="s">
        <v>235</v>
      </c>
      <c r="J699" s="9" t="s">
        <v>2073</v>
      </c>
    </row>
    <row r="700" spans="1:10">
      <c r="A700" s="8">
        <v>42144</v>
      </c>
      <c r="B700" s="10" t="s">
        <v>1973</v>
      </c>
      <c r="C700" s="11" t="s">
        <v>1036</v>
      </c>
      <c r="D700" s="11" t="s">
        <v>2604</v>
      </c>
      <c r="E700" s="11">
        <v>822.96</v>
      </c>
      <c r="F700" s="11" t="s">
        <v>133</v>
      </c>
      <c r="G700" s="11" t="s">
        <v>2072</v>
      </c>
      <c r="H700" s="9" t="s">
        <v>277</v>
      </c>
      <c r="I700" s="9" t="s">
        <v>53</v>
      </c>
      <c r="J700" s="9" t="s">
        <v>2075</v>
      </c>
    </row>
    <row r="701" spans="1:10">
      <c r="A701" s="8">
        <v>54156</v>
      </c>
      <c r="B701" s="10" t="s">
        <v>1974</v>
      </c>
      <c r="C701" s="11" t="s">
        <v>1037</v>
      </c>
      <c r="D701" s="11" t="s">
        <v>2966</v>
      </c>
      <c r="E701" s="11">
        <v>878.5</v>
      </c>
      <c r="F701" s="11" t="s">
        <v>113</v>
      </c>
      <c r="G701" s="11" t="s">
        <v>2072</v>
      </c>
      <c r="H701" s="9" t="s">
        <v>450</v>
      </c>
      <c r="I701" s="9" t="s">
        <v>451</v>
      </c>
      <c r="J701" s="9" t="s">
        <v>2130</v>
      </c>
    </row>
    <row r="702" spans="1:10">
      <c r="A702" s="8">
        <v>58178</v>
      </c>
      <c r="B702" s="10" t="s">
        <v>1975</v>
      </c>
      <c r="C702" s="11" t="s">
        <v>1038</v>
      </c>
      <c r="D702" s="11" t="s">
        <v>2758</v>
      </c>
      <c r="E702" s="11">
        <v>955.14</v>
      </c>
      <c r="F702" s="11" t="s">
        <v>113</v>
      </c>
      <c r="G702" s="11" t="s">
        <v>2072</v>
      </c>
      <c r="H702" s="9" t="s">
        <v>169</v>
      </c>
      <c r="I702" s="9" t="s">
        <v>66</v>
      </c>
      <c r="J702" s="9" t="s">
        <v>2088</v>
      </c>
    </row>
    <row r="703" spans="1:10">
      <c r="A703" s="8">
        <v>67790</v>
      </c>
      <c r="B703" s="10" t="s">
        <v>2236</v>
      </c>
      <c r="C703" s="11" t="s">
        <v>2237</v>
      </c>
      <c r="D703" s="11" t="s">
        <v>2867</v>
      </c>
      <c r="E703" s="11">
        <v>1835.61</v>
      </c>
      <c r="F703" s="11" t="s">
        <v>475</v>
      </c>
      <c r="G703" s="11" t="s">
        <v>2072</v>
      </c>
      <c r="H703" s="9" t="s">
        <v>248</v>
      </c>
      <c r="I703" s="9" t="s">
        <v>249</v>
      </c>
      <c r="J703" s="9" t="s">
        <v>2073</v>
      </c>
    </row>
    <row r="704" spans="1:10">
      <c r="A704" s="8">
        <v>7467</v>
      </c>
      <c r="B704" s="10" t="s">
        <v>1976</v>
      </c>
      <c r="C704" s="11" t="s">
        <v>1039</v>
      </c>
      <c r="D704" s="11" t="s">
        <v>2468</v>
      </c>
      <c r="E704" s="11">
        <v>737.88</v>
      </c>
      <c r="F704" s="11" t="s">
        <v>122</v>
      </c>
      <c r="G704" s="11" t="s">
        <v>2072</v>
      </c>
      <c r="H704" s="9" t="s">
        <v>225</v>
      </c>
      <c r="I704" s="9" t="s">
        <v>226</v>
      </c>
      <c r="J704" s="9" t="s">
        <v>2073</v>
      </c>
    </row>
    <row r="705" spans="1:10">
      <c r="A705" s="8">
        <v>64422</v>
      </c>
      <c r="B705" s="10" t="s">
        <v>1977</v>
      </c>
      <c r="C705" s="11" t="s">
        <v>1248</v>
      </c>
      <c r="D705" s="11" t="s">
        <v>2967</v>
      </c>
      <c r="E705" s="11">
        <v>878.5</v>
      </c>
      <c r="F705" s="11" t="s">
        <v>113</v>
      </c>
      <c r="G705" s="11" t="s">
        <v>2072</v>
      </c>
      <c r="H705" s="9" t="s">
        <v>1230</v>
      </c>
      <c r="I705" s="9" t="s">
        <v>1231</v>
      </c>
      <c r="J705" s="9" t="s">
        <v>2904</v>
      </c>
    </row>
    <row r="706" spans="1:10">
      <c r="A706" s="8">
        <v>56020</v>
      </c>
      <c r="B706" s="10" t="s">
        <v>1495</v>
      </c>
      <c r="C706" s="11" t="s">
        <v>35</v>
      </c>
      <c r="D706" s="11" t="s">
        <v>2413</v>
      </c>
      <c r="E706" s="11">
        <v>2110.38</v>
      </c>
      <c r="F706" s="11" t="s">
        <v>0</v>
      </c>
      <c r="G706" s="11" t="s">
        <v>2072</v>
      </c>
      <c r="H706" s="9" t="s">
        <v>306</v>
      </c>
      <c r="I706" s="9" t="s">
        <v>307</v>
      </c>
      <c r="J706" s="9" t="s">
        <v>2073</v>
      </c>
    </row>
    <row r="707" spans="1:10">
      <c r="A707" s="8">
        <v>67773</v>
      </c>
      <c r="B707" s="10" t="s">
        <v>2238</v>
      </c>
      <c r="C707" s="11" t="s">
        <v>2239</v>
      </c>
      <c r="D707" s="11" t="s">
        <v>2865</v>
      </c>
      <c r="E707" s="11">
        <v>878.5</v>
      </c>
      <c r="F707" s="11" t="s">
        <v>113</v>
      </c>
      <c r="G707" s="11" t="s">
        <v>2072</v>
      </c>
      <c r="H707" s="9" t="s">
        <v>588</v>
      </c>
      <c r="I707" s="9" t="s">
        <v>589</v>
      </c>
      <c r="J707" s="9" t="s">
        <v>2102</v>
      </c>
    </row>
    <row r="708" spans="1:10">
      <c r="A708" s="8">
        <v>67455</v>
      </c>
      <c r="B708" s="10" t="s">
        <v>2240</v>
      </c>
      <c r="C708" s="11" t="s">
        <v>2180</v>
      </c>
      <c r="D708" s="11" t="s">
        <v>2858</v>
      </c>
      <c r="E708" s="11">
        <v>737.88</v>
      </c>
      <c r="F708" s="11" t="s">
        <v>2353</v>
      </c>
      <c r="G708" s="11" t="s">
        <v>2072</v>
      </c>
      <c r="H708" s="9" t="s">
        <v>153</v>
      </c>
      <c r="I708" s="9" t="s">
        <v>154</v>
      </c>
      <c r="J708" s="9" t="s">
        <v>2073</v>
      </c>
    </row>
    <row r="709" spans="1:10">
      <c r="A709" s="8">
        <v>46247</v>
      </c>
      <c r="B709" s="10" t="s">
        <v>1041</v>
      </c>
      <c r="C709" s="11" t="s">
        <v>1040</v>
      </c>
      <c r="D709" s="11" t="s">
        <v>2618</v>
      </c>
      <c r="E709" s="11">
        <v>714.24</v>
      </c>
      <c r="F709" s="11" t="s">
        <v>129</v>
      </c>
      <c r="G709" s="11" t="s">
        <v>2072</v>
      </c>
      <c r="H709" s="9" t="s">
        <v>955</v>
      </c>
      <c r="I709" s="9" t="s">
        <v>64</v>
      </c>
      <c r="J709" s="9" t="s">
        <v>2083</v>
      </c>
    </row>
    <row r="710" spans="1:10">
      <c r="A710" s="8">
        <v>54871</v>
      </c>
      <c r="B710" s="10" t="s">
        <v>1978</v>
      </c>
      <c r="C710" s="11" t="s">
        <v>1042</v>
      </c>
      <c r="D710" s="11" t="s">
        <v>2968</v>
      </c>
      <c r="E710" s="11">
        <v>955.14</v>
      </c>
      <c r="F710" s="11" t="s">
        <v>113</v>
      </c>
      <c r="G710" s="11" t="s">
        <v>2072</v>
      </c>
      <c r="H710" s="9" t="s">
        <v>314</v>
      </c>
      <c r="I710" s="9" t="s">
        <v>315</v>
      </c>
      <c r="J710" s="9" t="s">
        <v>2150</v>
      </c>
    </row>
    <row r="711" spans="1:10">
      <c r="A711" s="8">
        <v>53091</v>
      </c>
      <c r="B711" s="10" t="s">
        <v>1043</v>
      </c>
      <c r="C711" s="11" t="s">
        <v>1044</v>
      </c>
      <c r="D711" s="11" t="s">
        <v>2692</v>
      </c>
      <c r="E711" s="11">
        <v>878.5</v>
      </c>
      <c r="F711" s="11" t="s">
        <v>113</v>
      </c>
      <c r="G711" s="11" t="s">
        <v>2072</v>
      </c>
      <c r="H711" s="9" t="s">
        <v>454</v>
      </c>
      <c r="I711" s="9" t="s">
        <v>51</v>
      </c>
      <c r="J711" s="9" t="s">
        <v>2097</v>
      </c>
    </row>
    <row r="712" spans="1:10">
      <c r="A712" s="8">
        <v>56340</v>
      </c>
      <c r="B712" s="10" t="s">
        <v>1496</v>
      </c>
      <c r="C712" s="11" t="s">
        <v>94</v>
      </c>
      <c r="D712" s="11" t="s">
        <v>2413</v>
      </c>
      <c r="E712" s="11">
        <v>2110.38</v>
      </c>
      <c r="F712" s="11" t="s">
        <v>0</v>
      </c>
      <c r="G712" s="11" t="s">
        <v>2072</v>
      </c>
      <c r="H712" s="9" t="s">
        <v>416</v>
      </c>
      <c r="I712" s="9" t="s">
        <v>417</v>
      </c>
      <c r="J712" s="9" t="s">
        <v>2080</v>
      </c>
    </row>
    <row r="713" spans="1:10">
      <c r="A713" s="8">
        <v>51982</v>
      </c>
      <c r="B713" s="10" t="s">
        <v>1979</v>
      </c>
      <c r="C713" s="11" t="s">
        <v>1045</v>
      </c>
      <c r="D713" s="11" t="s">
        <v>2677</v>
      </c>
      <c r="E713" s="11">
        <v>1648.29</v>
      </c>
      <c r="F713" s="11" t="s">
        <v>458</v>
      </c>
      <c r="G713" s="11" t="s">
        <v>2074</v>
      </c>
      <c r="H713" s="9" t="s">
        <v>248</v>
      </c>
      <c r="I713" s="9" t="s">
        <v>249</v>
      </c>
      <c r="J713" s="9" t="s">
        <v>2073</v>
      </c>
    </row>
    <row r="714" spans="1:10">
      <c r="A714" s="8">
        <v>66219</v>
      </c>
      <c r="B714" s="10" t="s">
        <v>2354</v>
      </c>
      <c r="C714" s="11" t="s">
        <v>2355</v>
      </c>
      <c r="D714" s="11" t="s">
        <v>2840</v>
      </c>
      <c r="E714" s="11">
        <v>878.5</v>
      </c>
      <c r="F714" s="11" t="s">
        <v>113</v>
      </c>
      <c r="G714" s="11" t="s">
        <v>2072</v>
      </c>
      <c r="H714" s="9" t="s">
        <v>392</v>
      </c>
      <c r="I714" s="9" t="s">
        <v>393</v>
      </c>
      <c r="J714" s="9" t="s">
        <v>2144</v>
      </c>
    </row>
    <row r="715" spans="1:10">
      <c r="A715" s="8">
        <v>47903</v>
      </c>
      <c r="B715" s="10" t="s">
        <v>1980</v>
      </c>
      <c r="C715" s="11" t="s">
        <v>1047</v>
      </c>
      <c r="D715" s="11" t="s">
        <v>2631</v>
      </c>
      <c r="E715" s="11">
        <v>1520.02</v>
      </c>
      <c r="F715" s="11" t="s">
        <v>155</v>
      </c>
      <c r="G715" s="11" t="s">
        <v>2072</v>
      </c>
      <c r="H715" s="9" t="s">
        <v>955</v>
      </c>
      <c r="I715" s="9" t="s">
        <v>64</v>
      </c>
      <c r="J715" s="9" t="s">
        <v>2083</v>
      </c>
    </row>
    <row r="716" spans="1:10">
      <c r="A716" s="8">
        <v>51489</v>
      </c>
      <c r="B716" s="10" t="s">
        <v>1981</v>
      </c>
      <c r="C716" s="11" t="s">
        <v>1048</v>
      </c>
      <c r="D716" s="11" t="s">
        <v>2670</v>
      </c>
      <c r="E716" s="11">
        <v>1150.67</v>
      </c>
      <c r="F716" s="11" t="s">
        <v>147</v>
      </c>
      <c r="G716" s="11" t="s">
        <v>2072</v>
      </c>
      <c r="H716" s="9" t="s">
        <v>131</v>
      </c>
      <c r="I716" s="9" t="s">
        <v>132</v>
      </c>
      <c r="J716" s="9" t="s">
        <v>2073</v>
      </c>
    </row>
    <row r="717" spans="1:10">
      <c r="A717" s="8">
        <v>67712</v>
      </c>
      <c r="B717" s="10" t="s">
        <v>2241</v>
      </c>
      <c r="C717" s="11" t="s">
        <v>2191</v>
      </c>
      <c r="D717" s="11" t="s">
        <v>2945</v>
      </c>
      <c r="E717" s="11">
        <v>1835.61</v>
      </c>
      <c r="F717" s="11" t="s">
        <v>475</v>
      </c>
      <c r="G717" s="11" t="s">
        <v>2072</v>
      </c>
      <c r="H717" s="9" t="s">
        <v>115</v>
      </c>
      <c r="I717" s="9" t="s">
        <v>116</v>
      </c>
      <c r="J717" s="9" t="s">
        <v>2073</v>
      </c>
    </row>
    <row r="718" spans="1:10">
      <c r="A718" s="8">
        <v>58516</v>
      </c>
      <c r="B718" s="10" t="s">
        <v>1982</v>
      </c>
      <c r="C718" s="11" t="s">
        <v>1049</v>
      </c>
      <c r="D718" s="11" t="s">
        <v>2760</v>
      </c>
      <c r="E718" s="11">
        <v>1102.2</v>
      </c>
      <c r="F718" s="11" t="s">
        <v>205</v>
      </c>
      <c r="G718" s="11" t="s">
        <v>2081</v>
      </c>
      <c r="H718" s="9" t="s">
        <v>212</v>
      </c>
      <c r="I718" s="9" t="s">
        <v>213</v>
      </c>
      <c r="J718" s="9" t="s">
        <v>2073</v>
      </c>
    </row>
    <row r="719" spans="1:10">
      <c r="A719" s="8">
        <v>8378</v>
      </c>
      <c r="B719" s="10" t="s">
        <v>1983</v>
      </c>
      <c r="C719" s="11" t="s">
        <v>1050</v>
      </c>
      <c r="D719" s="11" t="s">
        <v>2475</v>
      </c>
      <c r="E719" s="11">
        <v>955.15</v>
      </c>
      <c r="F719" s="11" t="s">
        <v>113</v>
      </c>
      <c r="G719" s="11" t="s">
        <v>2072</v>
      </c>
      <c r="H719" s="9" t="s">
        <v>438</v>
      </c>
      <c r="I719" s="9" t="s">
        <v>439</v>
      </c>
      <c r="J719" s="9" t="s">
        <v>2073</v>
      </c>
    </row>
    <row r="720" spans="1:10">
      <c r="A720" s="8">
        <v>30740</v>
      </c>
      <c r="B720" s="10" t="s">
        <v>1984</v>
      </c>
      <c r="C720" s="11" t="s">
        <v>1051</v>
      </c>
      <c r="D720" s="11" t="s">
        <v>2912</v>
      </c>
      <c r="E720" s="11">
        <v>878.5</v>
      </c>
      <c r="F720" s="11" t="s">
        <v>113</v>
      </c>
      <c r="G720" s="11" t="s">
        <v>2072</v>
      </c>
      <c r="H720" s="9" t="s">
        <v>135</v>
      </c>
      <c r="I720" s="9" t="s">
        <v>84</v>
      </c>
      <c r="J720" s="9" t="s">
        <v>2104</v>
      </c>
    </row>
    <row r="721" spans="1:10">
      <c r="A721" s="8">
        <v>47189</v>
      </c>
      <c r="B721" s="10" t="s">
        <v>1985</v>
      </c>
      <c r="C721" s="11" t="s">
        <v>1053</v>
      </c>
      <c r="D721" s="11" t="s">
        <v>2627</v>
      </c>
      <c r="E721" s="11">
        <v>737.88</v>
      </c>
      <c r="F721" s="11" t="s">
        <v>420</v>
      </c>
      <c r="G721" s="11" t="s">
        <v>2074</v>
      </c>
      <c r="H721" s="9" t="s">
        <v>115</v>
      </c>
      <c r="I721" s="9" t="s">
        <v>116</v>
      </c>
      <c r="J721" s="9" t="s">
        <v>2073</v>
      </c>
    </row>
    <row r="722" spans="1:10">
      <c r="A722" s="8">
        <v>31022</v>
      </c>
      <c r="B722" s="10" t="s">
        <v>1986</v>
      </c>
      <c r="C722" s="11" t="s">
        <v>1054</v>
      </c>
      <c r="D722" s="11" t="s">
        <v>2552</v>
      </c>
      <c r="E722" s="11">
        <v>737.88</v>
      </c>
      <c r="F722" s="11" t="s">
        <v>122</v>
      </c>
      <c r="G722" s="11" t="s">
        <v>2072</v>
      </c>
      <c r="H722" s="9" t="s">
        <v>131</v>
      </c>
      <c r="I722" s="9" t="s">
        <v>132</v>
      </c>
      <c r="J722" s="9" t="s">
        <v>2073</v>
      </c>
    </row>
    <row r="723" spans="1:10">
      <c r="A723" s="8">
        <v>4159</v>
      </c>
      <c r="B723" s="10" t="s">
        <v>1987</v>
      </c>
      <c r="C723" s="11" t="s">
        <v>1055</v>
      </c>
      <c r="D723" s="11" t="s">
        <v>2451</v>
      </c>
      <c r="E723" s="11">
        <v>1520.04</v>
      </c>
      <c r="F723" s="11" t="s">
        <v>155</v>
      </c>
      <c r="G723" s="11" t="s">
        <v>2072</v>
      </c>
      <c r="H723" s="9" t="s">
        <v>115</v>
      </c>
      <c r="I723" s="9" t="s">
        <v>116</v>
      </c>
      <c r="J723" s="9" t="s">
        <v>2073</v>
      </c>
    </row>
    <row r="724" spans="1:10">
      <c r="A724" s="8">
        <v>68245</v>
      </c>
      <c r="B724" s="10" t="s">
        <v>2288</v>
      </c>
      <c r="C724" s="11" t="s">
        <v>2289</v>
      </c>
      <c r="D724" s="11" t="s">
        <v>2869</v>
      </c>
      <c r="E724" s="11">
        <v>357.13</v>
      </c>
      <c r="F724" s="11" t="s">
        <v>129</v>
      </c>
      <c r="G724" s="11" t="s">
        <v>2072</v>
      </c>
      <c r="H724" s="9" t="s">
        <v>347</v>
      </c>
      <c r="I724" s="9" t="s">
        <v>74</v>
      </c>
      <c r="J724" s="9" t="s">
        <v>2086</v>
      </c>
    </row>
    <row r="725" spans="1:10">
      <c r="A725" s="8">
        <v>50570</v>
      </c>
      <c r="B725" s="10" t="s">
        <v>643</v>
      </c>
      <c r="C725" s="11" t="s">
        <v>1056</v>
      </c>
      <c r="D725" s="11" t="s">
        <v>2969</v>
      </c>
      <c r="E725" s="11">
        <v>737.88</v>
      </c>
      <c r="F725" s="11" t="s">
        <v>129</v>
      </c>
      <c r="G725" s="11" t="s">
        <v>2081</v>
      </c>
      <c r="H725" s="9" t="s">
        <v>211</v>
      </c>
      <c r="I725" s="9" t="s">
        <v>93</v>
      </c>
      <c r="J725" s="9" t="s">
        <v>2080</v>
      </c>
    </row>
    <row r="726" spans="1:10">
      <c r="A726" s="8">
        <v>34832</v>
      </c>
      <c r="B726" s="10" t="s">
        <v>159</v>
      </c>
      <c r="C726" s="11" t="s">
        <v>1057</v>
      </c>
      <c r="D726" s="11" t="s">
        <v>2970</v>
      </c>
      <c r="E726" s="11">
        <v>737.88</v>
      </c>
      <c r="F726" s="11" t="s">
        <v>129</v>
      </c>
      <c r="G726" s="11" t="s">
        <v>2072</v>
      </c>
      <c r="H726" s="9" t="s">
        <v>169</v>
      </c>
      <c r="I726" s="9" t="s">
        <v>66</v>
      </c>
      <c r="J726" s="9" t="s">
        <v>2088</v>
      </c>
    </row>
    <row r="727" spans="1:10">
      <c r="A727" s="8">
        <v>4894</v>
      </c>
      <c r="B727" s="10" t="s">
        <v>1988</v>
      </c>
      <c r="C727" s="11" t="s">
        <v>1058</v>
      </c>
      <c r="D727" s="11" t="s">
        <v>2458</v>
      </c>
      <c r="E727" s="11">
        <v>737.88</v>
      </c>
      <c r="F727" s="11" t="s">
        <v>129</v>
      </c>
      <c r="G727" s="11" t="s">
        <v>2072</v>
      </c>
      <c r="H727" s="9" t="s">
        <v>214</v>
      </c>
      <c r="I727" s="9" t="s">
        <v>215</v>
      </c>
      <c r="J727" s="9" t="s">
        <v>2073</v>
      </c>
    </row>
    <row r="728" spans="1:10">
      <c r="A728" s="8">
        <v>67264</v>
      </c>
      <c r="B728" s="10" t="s">
        <v>1989</v>
      </c>
      <c r="C728" s="11" t="s">
        <v>1059</v>
      </c>
      <c r="D728" s="11" t="s">
        <v>2854</v>
      </c>
      <c r="E728" s="11">
        <v>1520.05</v>
      </c>
      <c r="F728" s="11" t="s">
        <v>155</v>
      </c>
      <c r="G728" s="11" t="s">
        <v>2072</v>
      </c>
      <c r="H728" s="9" t="s">
        <v>374</v>
      </c>
      <c r="I728" s="9" t="s">
        <v>375</v>
      </c>
      <c r="J728" s="9" t="s">
        <v>2118</v>
      </c>
    </row>
    <row r="729" spans="1:10">
      <c r="A729" s="8">
        <v>60499</v>
      </c>
      <c r="B729" s="10" t="s">
        <v>1497</v>
      </c>
      <c r="C729" s="11" t="s">
        <v>96</v>
      </c>
      <c r="D729" s="11" t="s">
        <v>2786</v>
      </c>
      <c r="E729" s="11">
        <v>2110.38</v>
      </c>
      <c r="F729" s="11" t="s">
        <v>0</v>
      </c>
      <c r="G729" s="11" t="s">
        <v>2072</v>
      </c>
      <c r="H729" s="9" t="s">
        <v>416</v>
      </c>
      <c r="I729" s="9" t="s">
        <v>417</v>
      </c>
      <c r="J729" s="9" t="s">
        <v>2080</v>
      </c>
    </row>
    <row r="730" spans="1:10">
      <c r="A730" s="8">
        <v>56201</v>
      </c>
      <c r="B730" s="10" t="s">
        <v>1498</v>
      </c>
      <c r="C730" s="11" t="s">
        <v>76</v>
      </c>
      <c r="D730" s="11" t="s">
        <v>2413</v>
      </c>
      <c r="E730" s="11">
        <v>2110.38</v>
      </c>
      <c r="F730" s="11" t="s">
        <v>0</v>
      </c>
      <c r="G730" s="11" t="s">
        <v>2072</v>
      </c>
      <c r="H730" s="9" t="s">
        <v>1060</v>
      </c>
      <c r="I730" s="9" t="s">
        <v>1061</v>
      </c>
      <c r="J730" s="9" t="s">
        <v>2139</v>
      </c>
    </row>
    <row r="731" spans="1:10">
      <c r="A731" s="8">
        <v>55457</v>
      </c>
      <c r="B731" s="10" t="s">
        <v>1990</v>
      </c>
      <c r="C731" s="11" t="s">
        <v>1062</v>
      </c>
      <c r="D731" s="11" t="s">
        <v>2730</v>
      </c>
      <c r="E731" s="11">
        <v>737.88</v>
      </c>
      <c r="F731" s="11" t="s">
        <v>129</v>
      </c>
      <c r="G731" s="11" t="s">
        <v>2072</v>
      </c>
      <c r="H731" s="9" t="s">
        <v>115</v>
      </c>
      <c r="I731" s="9" t="s">
        <v>116</v>
      </c>
      <c r="J731" s="9" t="s">
        <v>2073</v>
      </c>
    </row>
    <row r="732" spans="1:10">
      <c r="A732" s="8">
        <v>38382</v>
      </c>
      <c r="B732" s="10" t="s">
        <v>1991</v>
      </c>
      <c r="C732" s="11" t="s">
        <v>1063</v>
      </c>
      <c r="D732" s="11" t="s">
        <v>2590</v>
      </c>
      <c r="E732" s="11">
        <v>822.96</v>
      </c>
      <c r="F732" s="11" t="s">
        <v>133</v>
      </c>
      <c r="G732" s="11" t="s">
        <v>2072</v>
      </c>
      <c r="H732" s="9" t="s">
        <v>234</v>
      </c>
      <c r="I732" s="9" t="s">
        <v>235</v>
      </c>
      <c r="J732" s="9" t="s">
        <v>2073</v>
      </c>
    </row>
    <row r="733" spans="1:10">
      <c r="A733" s="8">
        <v>52933</v>
      </c>
      <c r="B733" s="10" t="s">
        <v>1992</v>
      </c>
      <c r="C733" s="11" t="s">
        <v>1064</v>
      </c>
      <c r="D733" s="11" t="s">
        <v>2690</v>
      </c>
      <c r="E733" s="11">
        <v>737.88</v>
      </c>
      <c r="F733" s="11" t="s">
        <v>122</v>
      </c>
      <c r="G733" s="11" t="s">
        <v>2072</v>
      </c>
      <c r="H733" s="9" t="s">
        <v>115</v>
      </c>
      <c r="I733" s="9" t="s">
        <v>116</v>
      </c>
      <c r="J733" s="9" t="s">
        <v>2073</v>
      </c>
    </row>
    <row r="734" spans="1:10">
      <c r="A734" s="8">
        <v>47814</v>
      </c>
      <c r="B734" s="10" t="s">
        <v>567</v>
      </c>
      <c r="C734" s="11" t="s">
        <v>1065</v>
      </c>
      <c r="D734" s="11" t="s">
        <v>2629</v>
      </c>
      <c r="E734" s="11">
        <v>737.88</v>
      </c>
      <c r="F734" s="11" t="s">
        <v>129</v>
      </c>
      <c r="G734" s="11" t="s">
        <v>2072</v>
      </c>
      <c r="H734" s="9" t="s">
        <v>115</v>
      </c>
      <c r="I734" s="9" t="s">
        <v>116</v>
      </c>
      <c r="J734" s="9" t="s">
        <v>2073</v>
      </c>
    </row>
    <row r="735" spans="1:10">
      <c r="A735" s="8">
        <v>61537</v>
      </c>
      <c r="B735" s="10" t="s">
        <v>1993</v>
      </c>
      <c r="C735" s="11" t="s">
        <v>1066</v>
      </c>
      <c r="D735" s="11" t="s">
        <v>2797</v>
      </c>
      <c r="E735" s="11">
        <v>737.88</v>
      </c>
      <c r="F735" s="11" t="s">
        <v>129</v>
      </c>
      <c r="G735" s="11" t="s">
        <v>2072</v>
      </c>
      <c r="H735" s="9" t="s">
        <v>146</v>
      </c>
      <c r="I735" s="9" t="s">
        <v>4</v>
      </c>
      <c r="J735" s="9" t="s">
        <v>2073</v>
      </c>
    </row>
    <row r="736" spans="1:10">
      <c r="A736" s="8">
        <v>69005</v>
      </c>
      <c r="B736" s="10" t="s">
        <v>2431</v>
      </c>
      <c r="C736" s="11" t="s">
        <v>2432</v>
      </c>
      <c r="D736" s="11" t="s">
        <v>2406</v>
      </c>
      <c r="E736" s="11">
        <v>737.88</v>
      </c>
      <c r="F736" s="11" t="s">
        <v>129</v>
      </c>
      <c r="G736" s="11" t="s">
        <v>2072</v>
      </c>
      <c r="H736" s="9" t="s">
        <v>115</v>
      </c>
      <c r="I736" s="9" t="s">
        <v>116</v>
      </c>
      <c r="J736" s="9" t="s">
        <v>2073</v>
      </c>
    </row>
    <row r="737" spans="1:10">
      <c r="A737" s="8">
        <v>22910</v>
      </c>
      <c r="B737" s="10" t="s">
        <v>1068</v>
      </c>
      <c r="C737" s="11" t="s">
        <v>1069</v>
      </c>
      <c r="D737" s="11" t="s">
        <v>2520</v>
      </c>
      <c r="E737" s="11">
        <v>603.73</v>
      </c>
      <c r="F737" s="11" t="s">
        <v>129</v>
      </c>
      <c r="G737" s="11" t="s">
        <v>2072</v>
      </c>
      <c r="H737" s="9" t="s">
        <v>569</v>
      </c>
      <c r="I737" s="9" t="s">
        <v>56</v>
      </c>
      <c r="J737" s="9" t="s">
        <v>2089</v>
      </c>
    </row>
    <row r="738" spans="1:10">
      <c r="A738" s="8">
        <v>68207</v>
      </c>
      <c r="B738" s="10" t="s">
        <v>2290</v>
      </c>
      <c r="C738" s="11" t="s">
        <v>1070</v>
      </c>
      <c r="D738" s="11" t="s">
        <v>2435</v>
      </c>
      <c r="E738" s="11">
        <v>584.37</v>
      </c>
      <c r="F738" s="11" t="s">
        <v>129</v>
      </c>
      <c r="G738" s="11" t="s">
        <v>2072</v>
      </c>
      <c r="H738" s="9" t="s">
        <v>858</v>
      </c>
      <c r="I738" s="9" t="s">
        <v>859</v>
      </c>
      <c r="J738" s="9" t="s">
        <v>2106</v>
      </c>
    </row>
    <row r="739" spans="1:10">
      <c r="A739" s="8">
        <v>53910</v>
      </c>
      <c r="B739" s="10" t="s">
        <v>1994</v>
      </c>
      <c r="C739" s="11" t="s">
        <v>1071</v>
      </c>
      <c r="D739" s="11" t="s">
        <v>2703</v>
      </c>
      <c r="E739" s="11">
        <v>368.94</v>
      </c>
      <c r="F739" s="11" t="s">
        <v>129</v>
      </c>
      <c r="G739" s="11" t="s">
        <v>2072</v>
      </c>
      <c r="H739" s="9" t="s">
        <v>1072</v>
      </c>
      <c r="I739" s="9" t="s">
        <v>1073</v>
      </c>
      <c r="J739" s="9" t="s">
        <v>2143</v>
      </c>
    </row>
    <row r="740" spans="1:10">
      <c r="A740" s="8">
        <v>37252</v>
      </c>
      <c r="B740" s="10" t="s">
        <v>756</v>
      </c>
      <c r="C740" s="11" t="s">
        <v>1074</v>
      </c>
      <c r="D740" s="11" t="s">
        <v>2971</v>
      </c>
      <c r="E740" s="11">
        <v>714.24</v>
      </c>
      <c r="F740" s="11" t="s">
        <v>129</v>
      </c>
      <c r="G740" s="11" t="s">
        <v>2072</v>
      </c>
      <c r="H740" s="9" t="s">
        <v>181</v>
      </c>
      <c r="I740" s="9" t="s">
        <v>182</v>
      </c>
      <c r="J740" s="9" t="s">
        <v>2109</v>
      </c>
    </row>
    <row r="741" spans="1:10">
      <c r="A741" s="8">
        <v>8697</v>
      </c>
      <c r="B741" s="10" t="s">
        <v>1995</v>
      </c>
      <c r="C741" s="11" t="s">
        <v>1075</v>
      </c>
      <c r="D741" s="11" t="s">
        <v>2477</v>
      </c>
      <c r="E741" s="11">
        <v>737.88</v>
      </c>
      <c r="F741" s="11" t="s">
        <v>129</v>
      </c>
      <c r="G741" s="11" t="s">
        <v>2072</v>
      </c>
      <c r="H741" s="9" t="s">
        <v>225</v>
      </c>
      <c r="I741" s="9" t="s">
        <v>226</v>
      </c>
      <c r="J741" s="9" t="s">
        <v>2073</v>
      </c>
    </row>
    <row r="742" spans="1:10">
      <c r="A742" s="8">
        <v>63728</v>
      </c>
      <c r="B742" s="10" t="s">
        <v>1996</v>
      </c>
      <c r="C742" s="11" t="s">
        <v>1219</v>
      </c>
      <c r="D742" s="11" t="s">
        <v>2814</v>
      </c>
      <c r="E742" s="11">
        <v>1520.04</v>
      </c>
      <c r="F742" s="11" t="s">
        <v>155</v>
      </c>
      <c r="G742" s="11" t="s">
        <v>2072</v>
      </c>
      <c r="H742" s="9" t="s">
        <v>115</v>
      </c>
      <c r="I742" s="9" t="s">
        <v>116</v>
      </c>
      <c r="J742" s="9" t="s">
        <v>2073</v>
      </c>
    </row>
    <row r="743" spans="1:10">
      <c r="A743" s="8">
        <v>4853</v>
      </c>
      <c r="B743" s="10" t="s">
        <v>1997</v>
      </c>
      <c r="C743" s="11" t="s">
        <v>1076</v>
      </c>
      <c r="D743" s="11" t="s">
        <v>2456</v>
      </c>
      <c r="E743" s="11">
        <v>1648.29</v>
      </c>
      <c r="F743" s="11" t="s">
        <v>458</v>
      </c>
      <c r="G743" s="11" t="s">
        <v>2072</v>
      </c>
      <c r="H743" s="9" t="s">
        <v>146</v>
      </c>
      <c r="I743" s="9" t="s">
        <v>4</v>
      </c>
      <c r="J743" s="9" t="s">
        <v>2073</v>
      </c>
    </row>
    <row r="744" spans="1:10">
      <c r="A744" s="8">
        <v>68334</v>
      </c>
      <c r="B744" s="10" t="s">
        <v>2291</v>
      </c>
      <c r="C744" s="11" t="s">
        <v>2292</v>
      </c>
      <c r="D744" s="11" t="s">
        <v>2875</v>
      </c>
      <c r="E744" s="11">
        <v>368.97</v>
      </c>
      <c r="F744" s="11" t="s">
        <v>129</v>
      </c>
      <c r="G744" s="11" t="s">
        <v>2072</v>
      </c>
      <c r="H744" s="9" t="s">
        <v>243</v>
      </c>
      <c r="I744" s="9" t="s">
        <v>244</v>
      </c>
      <c r="J744" s="9" t="s">
        <v>2073</v>
      </c>
    </row>
    <row r="745" spans="1:10">
      <c r="A745" s="8">
        <v>58057</v>
      </c>
      <c r="B745" s="10" t="s">
        <v>1998</v>
      </c>
      <c r="C745" s="11" t="s">
        <v>1077</v>
      </c>
      <c r="D745" s="11" t="s">
        <v>2752</v>
      </c>
      <c r="E745" s="11">
        <v>737.88</v>
      </c>
      <c r="F745" s="11" t="s">
        <v>122</v>
      </c>
      <c r="G745" s="11" t="s">
        <v>2072</v>
      </c>
      <c r="H745" s="9" t="s">
        <v>115</v>
      </c>
      <c r="I745" s="9" t="s">
        <v>116</v>
      </c>
      <c r="J745" s="9" t="s">
        <v>2073</v>
      </c>
    </row>
    <row r="746" spans="1:10">
      <c r="A746" s="8">
        <v>55384</v>
      </c>
      <c r="B746" s="10" t="s">
        <v>1078</v>
      </c>
      <c r="C746" s="11" t="s">
        <v>1079</v>
      </c>
      <c r="D746" s="11" t="s">
        <v>2728</v>
      </c>
      <c r="E746" s="11">
        <v>822.96</v>
      </c>
      <c r="F746" s="11" t="s">
        <v>133</v>
      </c>
      <c r="G746" s="11" t="s">
        <v>2072</v>
      </c>
      <c r="H746" s="9" t="s">
        <v>277</v>
      </c>
      <c r="I746" s="9" t="s">
        <v>53</v>
      </c>
      <c r="J746" s="9" t="s">
        <v>2075</v>
      </c>
    </row>
    <row r="747" spans="1:10">
      <c r="A747" s="8">
        <v>67133</v>
      </c>
      <c r="B747" s="10" t="s">
        <v>1999</v>
      </c>
      <c r="C747" s="11" t="s">
        <v>2000</v>
      </c>
      <c r="D747" s="11" t="s">
        <v>2972</v>
      </c>
      <c r="E747" s="11">
        <v>178.57</v>
      </c>
      <c r="F747" s="11" t="s">
        <v>129</v>
      </c>
      <c r="G747" s="11" t="s">
        <v>2072</v>
      </c>
      <c r="H747" s="9" t="s">
        <v>611</v>
      </c>
      <c r="I747" s="9" t="s">
        <v>612</v>
      </c>
      <c r="J747" s="9" t="s">
        <v>2157</v>
      </c>
    </row>
    <row r="748" spans="1:10">
      <c r="A748" s="8">
        <v>9556</v>
      </c>
      <c r="B748" s="10" t="s">
        <v>2001</v>
      </c>
      <c r="C748" s="11" t="s">
        <v>1080</v>
      </c>
      <c r="D748" s="11" t="s">
        <v>2483</v>
      </c>
      <c r="E748" s="11">
        <v>1322.61</v>
      </c>
      <c r="F748" s="11" t="s">
        <v>862</v>
      </c>
      <c r="G748" s="11" t="s">
        <v>2072</v>
      </c>
      <c r="H748" s="9" t="s">
        <v>115</v>
      </c>
      <c r="I748" s="9" t="s">
        <v>116</v>
      </c>
      <c r="J748" s="9" t="s">
        <v>2073</v>
      </c>
    </row>
    <row r="749" spans="1:10">
      <c r="A749" s="8">
        <v>50942</v>
      </c>
      <c r="B749" s="10" t="s">
        <v>2002</v>
      </c>
      <c r="C749" s="11" t="s">
        <v>1081</v>
      </c>
      <c r="D749" s="11" t="s">
        <v>2662</v>
      </c>
      <c r="E749" s="11">
        <v>737.88</v>
      </c>
      <c r="F749" s="11" t="s">
        <v>122</v>
      </c>
      <c r="G749" s="11" t="s">
        <v>2085</v>
      </c>
      <c r="H749" s="9" t="s">
        <v>164</v>
      </c>
      <c r="I749" s="9" t="s">
        <v>165</v>
      </c>
      <c r="J749" s="9" t="s">
        <v>2073</v>
      </c>
    </row>
    <row r="750" spans="1:10">
      <c r="A750" s="8">
        <v>46911</v>
      </c>
      <c r="B750" s="10" t="s">
        <v>2003</v>
      </c>
      <c r="C750" s="11" t="s">
        <v>1082</v>
      </c>
      <c r="D750" s="11" t="s">
        <v>2623</v>
      </c>
      <c r="E750" s="11">
        <v>955.15</v>
      </c>
      <c r="F750" s="11" t="s">
        <v>113</v>
      </c>
      <c r="G750" s="11" t="s">
        <v>2072</v>
      </c>
      <c r="H750" s="9" t="s">
        <v>115</v>
      </c>
      <c r="I750" s="9" t="s">
        <v>116</v>
      </c>
      <c r="J750" s="9" t="s">
        <v>2073</v>
      </c>
    </row>
    <row r="751" spans="1:10">
      <c r="A751" s="8">
        <v>52851</v>
      </c>
      <c r="B751" s="10" t="s">
        <v>2004</v>
      </c>
      <c r="C751" s="11" t="s">
        <v>1083</v>
      </c>
      <c r="D751" s="11" t="s">
        <v>2688</v>
      </c>
      <c r="E751" s="11">
        <v>737.88</v>
      </c>
      <c r="F751" s="11" t="s">
        <v>420</v>
      </c>
      <c r="G751" s="11" t="s">
        <v>2072</v>
      </c>
      <c r="H751" s="9" t="s">
        <v>131</v>
      </c>
      <c r="I751" s="9" t="s">
        <v>132</v>
      </c>
      <c r="J751" s="9" t="s">
        <v>2073</v>
      </c>
    </row>
    <row r="752" spans="1:10">
      <c r="A752" s="8">
        <v>56050</v>
      </c>
      <c r="B752" s="10" t="s">
        <v>1502</v>
      </c>
      <c r="C752" s="11" t="s">
        <v>36</v>
      </c>
      <c r="D752" s="11" t="s">
        <v>2413</v>
      </c>
      <c r="E752" s="11">
        <v>2110.38</v>
      </c>
      <c r="F752" s="11" t="s">
        <v>0</v>
      </c>
      <c r="G752" s="11" t="s">
        <v>2072</v>
      </c>
      <c r="H752" s="9" t="s">
        <v>306</v>
      </c>
      <c r="I752" s="9" t="s">
        <v>307</v>
      </c>
      <c r="J752" s="9" t="s">
        <v>2073</v>
      </c>
    </row>
    <row r="753" spans="1:10">
      <c r="A753" s="8">
        <v>44270</v>
      </c>
      <c r="B753" s="10" t="s">
        <v>2005</v>
      </c>
      <c r="C753" s="11" t="s">
        <v>1084</v>
      </c>
      <c r="D753" s="11" t="s">
        <v>2610</v>
      </c>
      <c r="E753" s="11">
        <v>714.24</v>
      </c>
      <c r="F753" s="11" t="s">
        <v>129</v>
      </c>
      <c r="G753" s="11" t="s">
        <v>2074</v>
      </c>
      <c r="H753" s="9" t="s">
        <v>388</v>
      </c>
      <c r="I753" s="9" t="s">
        <v>389</v>
      </c>
      <c r="J753" s="9" t="s">
        <v>2125</v>
      </c>
    </row>
    <row r="754" spans="1:10">
      <c r="A754" s="8">
        <v>53005</v>
      </c>
      <c r="B754" s="10" t="s">
        <v>2006</v>
      </c>
      <c r="C754" s="11" t="s">
        <v>1085</v>
      </c>
      <c r="D754" s="11" t="s">
        <v>2692</v>
      </c>
      <c r="E754" s="11">
        <v>955.14</v>
      </c>
      <c r="F754" s="11" t="s">
        <v>113</v>
      </c>
      <c r="G754" s="11" t="s">
        <v>2072</v>
      </c>
      <c r="H754" s="9" t="s">
        <v>142</v>
      </c>
      <c r="I754" s="9" t="s">
        <v>143</v>
      </c>
      <c r="J754" s="9" t="s">
        <v>2073</v>
      </c>
    </row>
    <row r="755" spans="1:10">
      <c r="A755" s="8">
        <v>56333</v>
      </c>
      <c r="B755" s="10" t="s">
        <v>1503</v>
      </c>
      <c r="C755" s="11" t="s">
        <v>95</v>
      </c>
      <c r="D755" s="11" t="s">
        <v>2413</v>
      </c>
      <c r="E755" s="11">
        <v>2110.38</v>
      </c>
      <c r="F755" s="11" t="s">
        <v>0</v>
      </c>
      <c r="G755" s="11" t="s">
        <v>2072</v>
      </c>
      <c r="H755" s="9" t="s">
        <v>416</v>
      </c>
      <c r="I755" s="9" t="s">
        <v>417</v>
      </c>
      <c r="J755" s="9" t="s">
        <v>2080</v>
      </c>
    </row>
    <row r="756" spans="1:10">
      <c r="A756" s="8">
        <v>6812</v>
      </c>
      <c r="B756" s="10" t="s">
        <v>310</v>
      </c>
      <c r="C756" s="11" t="s">
        <v>1086</v>
      </c>
      <c r="D756" s="11" t="s">
        <v>2464</v>
      </c>
      <c r="E756" s="11">
        <v>1520.04</v>
      </c>
      <c r="F756" s="11" t="s">
        <v>155</v>
      </c>
      <c r="G756" s="11" t="s">
        <v>2072</v>
      </c>
      <c r="H756" s="9" t="s">
        <v>250</v>
      </c>
      <c r="I756" s="9" t="s">
        <v>90</v>
      </c>
      <c r="J756" s="9" t="s">
        <v>2076</v>
      </c>
    </row>
    <row r="757" spans="1:10">
      <c r="A757" s="8">
        <v>33057</v>
      </c>
      <c r="B757" s="10" t="s">
        <v>338</v>
      </c>
      <c r="C757" s="11" t="s">
        <v>1088</v>
      </c>
      <c r="D757" s="11" t="s">
        <v>2973</v>
      </c>
      <c r="E757" s="11">
        <v>357.12</v>
      </c>
      <c r="F757" s="11" t="s">
        <v>129</v>
      </c>
      <c r="G757" s="11" t="s">
        <v>2072</v>
      </c>
      <c r="H757" s="9" t="s">
        <v>339</v>
      </c>
      <c r="I757" s="9" t="s">
        <v>337</v>
      </c>
      <c r="J757" s="9" t="s">
        <v>2105</v>
      </c>
    </row>
    <row r="758" spans="1:10">
      <c r="A758" s="8">
        <v>56046</v>
      </c>
      <c r="B758" s="10" t="s">
        <v>1504</v>
      </c>
      <c r="C758" s="11" t="s">
        <v>37</v>
      </c>
      <c r="D758" s="11" t="s">
        <v>2413</v>
      </c>
      <c r="E758" s="11">
        <v>2110.38</v>
      </c>
      <c r="F758" s="11" t="s">
        <v>0</v>
      </c>
      <c r="G758" s="11" t="s">
        <v>2072</v>
      </c>
      <c r="H758" s="9" t="s">
        <v>306</v>
      </c>
      <c r="I758" s="9" t="s">
        <v>307</v>
      </c>
      <c r="J758" s="9" t="s">
        <v>2073</v>
      </c>
    </row>
    <row r="759" spans="1:10">
      <c r="A759" s="8">
        <v>68243</v>
      </c>
      <c r="B759" s="10" t="s">
        <v>2293</v>
      </c>
      <c r="C759" s="11" t="s">
        <v>2294</v>
      </c>
      <c r="D759" s="11" t="s">
        <v>2691</v>
      </c>
      <c r="E759" s="11">
        <v>737.88</v>
      </c>
      <c r="F759" s="11" t="s">
        <v>122</v>
      </c>
      <c r="G759" s="11" t="s">
        <v>2072</v>
      </c>
      <c r="H759" s="9" t="s">
        <v>366</v>
      </c>
      <c r="I759" s="9" t="s">
        <v>367</v>
      </c>
      <c r="J759" s="9" t="s">
        <v>2073</v>
      </c>
    </row>
    <row r="760" spans="1:10">
      <c r="A760" s="8">
        <v>21843</v>
      </c>
      <c r="B760" s="10" t="s">
        <v>750</v>
      </c>
      <c r="C760" s="11" t="s">
        <v>1089</v>
      </c>
      <c r="D760" s="11" t="s">
        <v>2516</v>
      </c>
      <c r="E760" s="11">
        <v>1520.04</v>
      </c>
      <c r="F760" s="11" t="s">
        <v>155</v>
      </c>
      <c r="G760" s="11" t="s">
        <v>2072</v>
      </c>
      <c r="H760" s="9" t="s">
        <v>212</v>
      </c>
      <c r="I760" s="9" t="s">
        <v>213</v>
      </c>
      <c r="J760" s="9" t="s">
        <v>2073</v>
      </c>
    </row>
    <row r="761" spans="1:10">
      <c r="A761" s="8">
        <v>67319</v>
      </c>
      <c r="B761" s="10" t="s">
        <v>2007</v>
      </c>
      <c r="C761" s="11" t="s">
        <v>2008</v>
      </c>
      <c r="D761" s="11" t="s">
        <v>2411</v>
      </c>
      <c r="E761" s="11">
        <v>178.58</v>
      </c>
      <c r="F761" s="11" t="s">
        <v>129</v>
      </c>
      <c r="G761" s="11" t="s">
        <v>2072</v>
      </c>
      <c r="H761" s="9" t="s">
        <v>771</v>
      </c>
      <c r="I761" s="9" t="s">
        <v>772</v>
      </c>
      <c r="J761" s="9" t="s">
        <v>2145</v>
      </c>
    </row>
    <row r="762" spans="1:10">
      <c r="A762" s="8">
        <v>47914</v>
      </c>
      <c r="B762" s="10" t="s">
        <v>961</v>
      </c>
      <c r="C762" s="11" t="s">
        <v>1090</v>
      </c>
      <c r="D762" s="11" t="s">
        <v>2631</v>
      </c>
      <c r="E762" s="11">
        <v>714.24</v>
      </c>
      <c r="F762" s="11" t="s">
        <v>129</v>
      </c>
      <c r="G762" s="11" t="s">
        <v>2072</v>
      </c>
      <c r="H762" s="9" t="s">
        <v>197</v>
      </c>
      <c r="I762" s="9" t="s">
        <v>198</v>
      </c>
      <c r="J762" s="9" t="s">
        <v>2128</v>
      </c>
    </row>
    <row r="763" spans="1:10">
      <c r="A763" s="8">
        <v>37975</v>
      </c>
      <c r="B763" s="10" t="s">
        <v>1029</v>
      </c>
      <c r="C763" s="11" t="s">
        <v>1091</v>
      </c>
      <c r="D763" s="11" t="s">
        <v>2588</v>
      </c>
      <c r="E763" s="11">
        <v>1520.04</v>
      </c>
      <c r="F763" s="11" t="s">
        <v>155</v>
      </c>
      <c r="G763" s="11" t="s">
        <v>2072</v>
      </c>
      <c r="H763" s="9" t="s">
        <v>185</v>
      </c>
      <c r="I763" s="9" t="s">
        <v>99</v>
      </c>
      <c r="J763" s="9" t="s">
        <v>2103</v>
      </c>
    </row>
    <row r="764" spans="1:10">
      <c r="A764" s="8">
        <v>66299</v>
      </c>
      <c r="B764" s="10" t="s">
        <v>2009</v>
      </c>
      <c r="C764" s="11" t="s">
        <v>1320</v>
      </c>
      <c r="D764" s="11" t="s">
        <v>2422</v>
      </c>
      <c r="E764" s="11">
        <v>737.88</v>
      </c>
      <c r="F764" s="11" t="s">
        <v>129</v>
      </c>
      <c r="G764" s="11" t="s">
        <v>2072</v>
      </c>
      <c r="H764" s="9" t="s">
        <v>153</v>
      </c>
      <c r="I764" s="9" t="s">
        <v>154</v>
      </c>
      <c r="J764" s="9" t="s">
        <v>2073</v>
      </c>
    </row>
    <row r="765" spans="1:10">
      <c r="A765" s="8">
        <v>48418</v>
      </c>
      <c r="B765" s="10" t="s">
        <v>359</v>
      </c>
      <c r="C765" s="11" t="s">
        <v>1092</v>
      </c>
      <c r="D765" s="11" t="s">
        <v>2635</v>
      </c>
      <c r="E765" s="11">
        <v>737.88</v>
      </c>
      <c r="F765" s="11" t="s">
        <v>129</v>
      </c>
      <c r="G765" s="11" t="s">
        <v>2072</v>
      </c>
      <c r="H765" s="9" t="s">
        <v>250</v>
      </c>
      <c r="I765" s="9" t="s">
        <v>90</v>
      </c>
      <c r="J765" s="9" t="s">
        <v>2076</v>
      </c>
    </row>
    <row r="766" spans="1:10">
      <c r="A766" s="8">
        <v>8122</v>
      </c>
      <c r="B766" s="10" t="s">
        <v>2010</v>
      </c>
      <c r="C766" s="11" t="s">
        <v>1093</v>
      </c>
      <c r="D766" s="11" t="s">
        <v>2472</v>
      </c>
      <c r="E766" s="11">
        <v>1520.04</v>
      </c>
      <c r="F766" s="11" t="s">
        <v>155</v>
      </c>
      <c r="G766" s="11" t="s">
        <v>2072</v>
      </c>
      <c r="H766" s="9" t="s">
        <v>186</v>
      </c>
      <c r="I766" s="9" t="s">
        <v>81</v>
      </c>
      <c r="J766" s="9" t="s">
        <v>2078</v>
      </c>
    </row>
    <row r="767" spans="1:10">
      <c r="A767" s="8">
        <v>57060</v>
      </c>
      <c r="B767" s="10" t="s">
        <v>2011</v>
      </c>
      <c r="C767" s="11" t="s">
        <v>1094</v>
      </c>
      <c r="D767" s="11" t="s">
        <v>2417</v>
      </c>
      <c r="E767" s="11">
        <v>1835.61</v>
      </c>
      <c r="F767" s="11" t="s">
        <v>475</v>
      </c>
      <c r="G767" s="11" t="s">
        <v>2072</v>
      </c>
      <c r="H767" s="9" t="s">
        <v>115</v>
      </c>
      <c r="I767" s="9" t="s">
        <v>116</v>
      </c>
      <c r="J767" s="9" t="s">
        <v>2073</v>
      </c>
    </row>
    <row r="768" spans="1:10">
      <c r="A768" s="8">
        <v>58105</v>
      </c>
      <c r="B768" s="10" t="s">
        <v>1345</v>
      </c>
      <c r="C768" s="11" t="s">
        <v>1095</v>
      </c>
      <c r="D768" s="11" t="s">
        <v>2974</v>
      </c>
      <c r="E768" s="11">
        <v>781.47</v>
      </c>
      <c r="F768" s="11" t="s">
        <v>113</v>
      </c>
      <c r="G768" s="11" t="s">
        <v>2072</v>
      </c>
      <c r="H768" s="9" t="s">
        <v>120</v>
      </c>
      <c r="I768" s="9" t="s">
        <v>121</v>
      </c>
      <c r="J768" s="9" t="s">
        <v>2090</v>
      </c>
    </row>
    <row r="769" spans="1:10">
      <c r="A769" s="8">
        <v>68509</v>
      </c>
      <c r="B769" s="10" t="s">
        <v>2295</v>
      </c>
      <c r="C769" s="11" t="s">
        <v>2296</v>
      </c>
      <c r="D769" s="11" t="s">
        <v>2877</v>
      </c>
      <c r="E769" s="11">
        <v>737.88</v>
      </c>
      <c r="F769" s="11" t="s">
        <v>122</v>
      </c>
      <c r="G769" s="11" t="s">
        <v>2072</v>
      </c>
      <c r="H769" s="9" t="s">
        <v>115</v>
      </c>
      <c r="I769" s="9" t="s">
        <v>116</v>
      </c>
      <c r="J769" s="9" t="s">
        <v>2073</v>
      </c>
    </row>
    <row r="770" spans="1:10">
      <c r="A770" s="8">
        <v>56035</v>
      </c>
      <c r="B770" s="10" t="s">
        <v>1505</v>
      </c>
      <c r="C770" s="11" t="s">
        <v>54</v>
      </c>
      <c r="D770" s="11" t="s">
        <v>2413</v>
      </c>
      <c r="E770" s="11">
        <v>2110.38</v>
      </c>
      <c r="F770" s="11" t="s">
        <v>0</v>
      </c>
      <c r="G770" s="11" t="s">
        <v>2072</v>
      </c>
      <c r="H770" s="9" t="s">
        <v>797</v>
      </c>
      <c r="I770" s="9" t="s">
        <v>798</v>
      </c>
      <c r="J770" s="9" t="s">
        <v>2075</v>
      </c>
    </row>
    <row r="771" spans="1:10">
      <c r="A771" s="8">
        <v>33695</v>
      </c>
      <c r="B771" s="10" t="s">
        <v>623</v>
      </c>
      <c r="C771" s="11" t="s">
        <v>1096</v>
      </c>
      <c r="D771" s="11" t="s">
        <v>2571</v>
      </c>
      <c r="E771" s="11">
        <v>822.96</v>
      </c>
      <c r="F771" s="11" t="s">
        <v>133</v>
      </c>
      <c r="G771" s="11" t="s">
        <v>2072</v>
      </c>
      <c r="H771" s="9" t="s">
        <v>208</v>
      </c>
      <c r="I771" s="9" t="s">
        <v>209</v>
      </c>
      <c r="J771" s="9" t="s">
        <v>2570</v>
      </c>
    </row>
    <row r="772" spans="1:10">
      <c r="A772" s="8">
        <v>48883</v>
      </c>
      <c r="B772" s="10" t="s">
        <v>2012</v>
      </c>
      <c r="C772" s="11" t="s">
        <v>1097</v>
      </c>
      <c r="D772" s="11" t="s">
        <v>2643</v>
      </c>
      <c r="E772" s="11">
        <v>737.88</v>
      </c>
      <c r="F772" s="11" t="s">
        <v>122</v>
      </c>
      <c r="G772" s="11" t="s">
        <v>2072</v>
      </c>
      <c r="H772" s="9" t="s">
        <v>115</v>
      </c>
      <c r="I772" s="9" t="s">
        <v>116</v>
      </c>
      <c r="J772" s="9" t="s">
        <v>2073</v>
      </c>
    </row>
    <row r="773" spans="1:10">
      <c r="A773" s="8">
        <v>50607</v>
      </c>
      <c r="B773" s="10" t="s">
        <v>2013</v>
      </c>
      <c r="C773" s="11" t="s">
        <v>1098</v>
      </c>
      <c r="D773" s="11" t="s">
        <v>2656</v>
      </c>
      <c r="E773" s="11">
        <v>737.88</v>
      </c>
      <c r="F773" s="11" t="s">
        <v>129</v>
      </c>
      <c r="G773" s="11" t="s">
        <v>2072</v>
      </c>
      <c r="H773" s="9" t="s">
        <v>211</v>
      </c>
      <c r="I773" s="9" t="s">
        <v>93</v>
      </c>
      <c r="J773" s="9" t="s">
        <v>2080</v>
      </c>
    </row>
    <row r="774" spans="1:10">
      <c r="A774" s="8">
        <v>68510</v>
      </c>
      <c r="B774" s="10" t="s">
        <v>2297</v>
      </c>
      <c r="C774" s="11" t="s">
        <v>2356</v>
      </c>
      <c r="D774" s="11" t="s">
        <v>2877</v>
      </c>
      <c r="E774" s="11">
        <v>737.88</v>
      </c>
      <c r="F774" s="11" t="s">
        <v>129</v>
      </c>
      <c r="G774" s="11" t="s">
        <v>2072</v>
      </c>
      <c r="H774" s="9" t="s">
        <v>214</v>
      </c>
      <c r="I774" s="9" t="s">
        <v>215</v>
      </c>
      <c r="J774" s="9" t="s">
        <v>2073</v>
      </c>
    </row>
    <row r="775" spans="1:10">
      <c r="A775" s="8">
        <v>15700</v>
      </c>
      <c r="B775" s="10" t="s">
        <v>2014</v>
      </c>
      <c r="C775" s="11" t="s">
        <v>1100</v>
      </c>
      <c r="D775" s="11" t="s">
        <v>2497</v>
      </c>
      <c r="E775" s="11">
        <v>1520.04</v>
      </c>
      <c r="F775" s="11" t="s">
        <v>155</v>
      </c>
      <c r="G775" s="11" t="s">
        <v>2072</v>
      </c>
      <c r="H775" s="9" t="s">
        <v>115</v>
      </c>
      <c r="I775" s="9" t="s">
        <v>116</v>
      </c>
      <c r="J775" s="9" t="s">
        <v>2073</v>
      </c>
    </row>
    <row r="776" spans="1:10">
      <c r="A776" s="8">
        <v>56016</v>
      </c>
      <c r="B776" s="10" t="s">
        <v>1506</v>
      </c>
      <c r="C776" s="11" t="s">
        <v>38</v>
      </c>
      <c r="D776" s="11" t="s">
        <v>2413</v>
      </c>
      <c r="E776" s="11">
        <v>2110.38</v>
      </c>
      <c r="F776" s="11" t="s">
        <v>0</v>
      </c>
      <c r="G776" s="11" t="s">
        <v>2072</v>
      </c>
      <c r="H776" s="9" t="s">
        <v>306</v>
      </c>
      <c r="I776" s="9" t="s">
        <v>307</v>
      </c>
      <c r="J776" s="9" t="s">
        <v>2073</v>
      </c>
    </row>
    <row r="777" spans="1:10">
      <c r="A777" s="8">
        <v>46903</v>
      </c>
      <c r="B777" s="10" t="s">
        <v>2015</v>
      </c>
      <c r="C777" s="11" t="s">
        <v>1103</v>
      </c>
      <c r="D777" s="11" t="s">
        <v>2623</v>
      </c>
      <c r="E777" s="11">
        <v>955.15</v>
      </c>
      <c r="F777" s="11" t="s">
        <v>113</v>
      </c>
      <c r="G777" s="11" t="s">
        <v>2072</v>
      </c>
      <c r="H777" s="9" t="s">
        <v>115</v>
      </c>
      <c r="I777" s="9" t="s">
        <v>116</v>
      </c>
      <c r="J777" s="9" t="s">
        <v>2073</v>
      </c>
    </row>
    <row r="778" spans="1:10">
      <c r="A778" s="8">
        <v>52166</v>
      </c>
      <c r="B778" s="10" t="s">
        <v>2016</v>
      </c>
      <c r="C778" s="11" t="s">
        <v>1104</v>
      </c>
      <c r="D778" s="11" t="s">
        <v>2679</v>
      </c>
      <c r="E778" s="11">
        <v>878.5</v>
      </c>
      <c r="F778" s="11" t="s">
        <v>113</v>
      </c>
      <c r="G778" s="11" t="s">
        <v>2072</v>
      </c>
      <c r="H778" s="9" t="s">
        <v>466</v>
      </c>
      <c r="I778" s="9" t="s">
        <v>467</v>
      </c>
      <c r="J778" s="9" t="s">
        <v>2115</v>
      </c>
    </row>
    <row r="779" spans="1:10">
      <c r="A779" s="8">
        <v>23875</v>
      </c>
      <c r="B779" s="10" t="s">
        <v>1011</v>
      </c>
      <c r="C779" s="11" t="s">
        <v>1105</v>
      </c>
      <c r="D779" s="11" t="s">
        <v>2530</v>
      </c>
      <c r="E779" s="11">
        <v>822.96</v>
      </c>
      <c r="F779" s="11" t="s">
        <v>133</v>
      </c>
      <c r="G779" s="11" t="s">
        <v>2072</v>
      </c>
      <c r="H779" s="9" t="s">
        <v>115</v>
      </c>
      <c r="I779" s="9" t="s">
        <v>116</v>
      </c>
      <c r="J779" s="9" t="s">
        <v>2073</v>
      </c>
    </row>
    <row r="780" spans="1:10">
      <c r="A780" s="8">
        <v>54554</v>
      </c>
      <c r="B780" s="10" t="s">
        <v>804</v>
      </c>
      <c r="C780" s="11" t="s">
        <v>1106</v>
      </c>
      <c r="D780" s="11" t="s">
        <v>2718</v>
      </c>
      <c r="E780" s="11">
        <v>737.88</v>
      </c>
      <c r="F780" s="11" t="s">
        <v>122</v>
      </c>
      <c r="G780" s="11" t="s">
        <v>2072</v>
      </c>
      <c r="H780" s="9" t="s">
        <v>248</v>
      </c>
      <c r="I780" s="9" t="s">
        <v>249</v>
      </c>
      <c r="J780" s="9" t="s">
        <v>2073</v>
      </c>
    </row>
    <row r="781" spans="1:10">
      <c r="A781" s="8">
        <v>48636</v>
      </c>
      <c r="B781" s="10" t="s">
        <v>892</v>
      </c>
      <c r="C781" s="11" t="s">
        <v>1107</v>
      </c>
      <c r="D781" s="11" t="s">
        <v>2639</v>
      </c>
      <c r="E781" s="11">
        <v>1520.04</v>
      </c>
      <c r="F781" s="11" t="s">
        <v>155</v>
      </c>
      <c r="G781" s="11" t="s">
        <v>2072</v>
      </c>
      <c r="H781" s="9" t="s">
        <v>243</v>
      </c>
      <c r="I781" s="9" t="s">
        <v>244</v>
      </c>
      <c r="J781" s="9" t="s">
        <v>2073</v>
      </c>
    </row>
    <row r="782" spans="1:10">
      <c r="A782" s="8">
        <v>50465</v>
      </c>
      <c r="B782" s="10" t="s">
        <v>1351</v>
      </c>
      <c r="C782" s="11" t="s">
        <v>1108</v>
      </c>
      <c r="D782" s="11" t="s">
        <v>2654</v>
      </c>
      <c r="E782" s="11">
        <v>1140.71</v>
      </c>
      <c r="F782" s="11" t="s">
        <v>203</v>
      </c>
      <c r="G782" s="11" t="s">
        <v>2072</v>
      </c>
      <c r="H782" s="9" t="s">
        <v>115</v>
      </c>
      <c r="I782" s="9" t="s">
        <v>116</v>
      </c>
      <c r="J782" s="9" t="s">
        <v>2073</v>
      </c>
    </row>
    <row r="783" spans="1:10">
      <c r="A783" s="8">
        <v>58328</v>
      </c>
      <c r="B783" s="10" t="s">
        <v>2017</v>
      </c>
      <c r="C783" s="11" t="s">
        <v>1109</v>
      </c>
      <c r="D783" s="11" t="s">
        <v>2757</v>
      </c>
      <c r="E783" s="11">
        <v>737.88</v>
      </c>
      <c r="F783" s="11" t="s">
        <v>129</v>
      </c>
      <c r="G783" s="11" t="s">
        <v>2072</v>
      </c>
      <c r="H783" s="9" t="s">
        <v>774</v>
      </c>
      <c r="I783" s="9" t="s">
        <v>775</v>
      </c>
      <c r="J783" s="9" t="s">
        <v>2073</v>
      </c>
    </row>
    <row r="784" spans="1:10">
      <c r="A784" s="8">
        <v>27854</v>
      </c>
      <c r="B784" s="10" t="s">
        <v>785</v>
      </c>
      <c r="C784" s="11" t="s">
        <v>1110</v>
      </c>
      <c r="D784" s="11" t="s">
        <v>2975</v>
      </c>
      <c r="E784" s="11">
        <v>584.38</v>
      </c>
      <c r="F784" s="11" t="s">
        <v>129</v>
      </c>
      <c r="G784" s="11" t="s">
        <v>2072</v>
      </c>
      <c r="H784" s="9" t="s">
        <v>786</v>
      </c>
      <c r="I784" s="9" t="s">
        <v>787</v>
      </c>
      <c r="J784" s="9" t="s">
        <v>2100</v>
      </c>
    </row>
    <row r="785" spans="1:10">
      <c r="A785" s="8">
        <v>49632</v>
      </c>
      <c r="B785" s="10" t="s">
        <v>2018</v>
      </c>
      <c r="C785" s="11" t="s">
        <v>1111</v>
      </c>
      <c r="D785" s="11" t="s">
        <v>2649</v>
      </c>
      <c r="E785" s="11">
        <v>822.96</v>
      </c>
      <c r="F785" s="11" t="s">
        <v>133</v>
      </c>
      <c r="G785" s="11" t="s">
        <v>2072</v>
      </c>
      <c r="H785" s="9" t="s">
        <v>277</v>
      </c>
      <c r="I785" s="9" t="s">
        <v>53</v>
      </c>
      <c r="J785" s="9" t="s">
        <v>2075</v>
      </c>
    </row>
    <row r="786" spans="1:10">
      <c r="A786" s="8">
        <v>68484</v>
      </c>
      <c r="B786" s="10" t="s">
        <v>2298</v>
      </c>
      <c r="C786" s="11" t="s">
        <v>2299</v>
      </c>
      <c r="D786" s="11" t="s">
        <v>2866</v>
      </c>
      <c r="E786" s="11">
        <v>1093.3699999999999</v>
      </c>
      <c r="F786" s="11" t="s">
        <v>117</v>
      </c>
      <c r="G786" s="11" t="s">
        <v>2072</v>
      </c>
      <c r="H786" s="9" t="s">
        <v>115</v>
      </c>
      <c r="I786" s="9" t="s">
        <v>116</v>
      </c>
      <c r="J786" s="9" t="s">
        <v>2073</v>
      </c>
    </row>
    <row r="787" spans="1:10">
      <c r="A787" s="8">
        <v>58314</v>
      </c>
      <c r="B787" s="10" t="s">
        <v>1763</v>
      </c>
      <c r="C787" s="11" t="s">
        <v>1112</v>
      </c>
      <c r="D787" s="11" t="s">
        <v>2757</v>
      </c>
      <c r="E787" s="11">
        <v>1150.67</v>
      </c>
      <c r="F787" s="11" t="s">
        <v>147</v>
      </c>
      <c r="G787" s="11" t="s">
        <v>2074</v>
      </c>
      <c r="H787" s="9" t="s">
        <v>146</v>
      </c>
      <c r="I787" s="9" t="s">
        <v>4</v>
      </c>
      <c r="J787" s="9" t="s">
        <v>2073</v>
      </c>
    </row>
    <row r="788" spans="1:10">
      <c r="A788" s="8">
        <v>61764</v>
      </c>
      <c r="B788" s="10" t="s">
        <v>2019</v>
      </c>
      <c r="C788" s="11" t="s">
        <v>1182</v>
      </c>
      <c r="D788" s="11" t="s">
        <v>2906</v>
      </c>
      <c r="E788" s="11">
        <v>714.24</v>
      </c>
      <c r="F788" s="11" t="s">
        <v>122</v>
      </c>
      <c r="G788" s="11" t="s">
        <v>2072</v>
      </c>
      <c r="H788" s="9" t="s">
        <v>392</v>
      </c>
      <c r="I788" s="9" t="s">
        <v>393</v>
      </c>
      <c r="J788" s="9" t="s">
        <v>2144</v>
      </c>
    </row>
    <row r="789" spans="1:10">
      <c r="A789" s="8">
        <v>49723</v>
      </c>
      <c r="B789" s="10" t="s">
        <v>2020</v>
      </c>
      <c r="C789" s="11" t="s">
        <v>1113</v>
      </c>
      <c r="D789" s="11" t="s">
        <v>2650</v>
      </c>
      <c r="E789" s="11">
        <v>1093.3699999999999</v>
      </c>
      <c r="F789" s="11" t="s">
        <v>117</v>
      </c>
      <c r="G789" s="11" t="s">
        <v>2072</v>
      </c>
      <c r="H789" s="9" t="s">
        <v>115</v>
      </c>
      <c r="I789" s="9" t="s">
        <v>116</v>
      </c>
      <c r="J789" s="9" t="s">
        <v>2073</v>
      </c>
    </row>
    <row r="790" spans="1:10">
      <c r="A790" s="8">
        <v>47649</v>
      </c>
      <c r="B790" s="10" t="s">
        <v>2021</v>
      </c>
      <c r="C790" s="11" t="s">
        <v>1114</v>
      </c>
      <c r="D790" s="11" t="s">
        <v>2628</v>
      </c>
      <c r="E790" s="11">
        <v>714.24</v>
      </c>
      <c r="F790" s="11" t="s">
        <v>122</v>
      </c>
      <c r="G790" s="11" t="s">
        <v>2072</v>
      </c>
      <c r="H790" s="9" t="s">
        <v>1115</v>
      </c>
      <c r="I790" s="9" t="s">
        <v>1116</v>
      </c>
      <c r="J790" s="9" t="s">
        <v>2127</v>
      </c>
    </row>
    <row r="791" spans="1:10">
      <c r="A791" s="8">
        <v>68882</v>
      </c>
      <c r="B791" s="10" t="s">
        <v>2357</v>
      </c>
      <c r="C791" s="11" t="s">
        <v>2358</v>
      </c>
      <c r="D791" s="11" t="s">
        <v>2437</v>
      </c>
      <c r="E791" s="11">
        <v>1093.3699999999999</v>
      </c>
      <c r="F791" s="11" t="s">
        <v>117</v>
      </c>
      <c r="G791" s="11" t="s">
        <v>2072</v>
      </c>
      <c r="H791" s="9" t="s">
        <v>146</v>
      </c>
      <c r="I791" s="9" t="s">
        <v>4</v>
      </c>
      <c r="J791" s="9" t="s">
        <v>2073</v>
      </c>
    </row>
    <row r="792" spans="1:10">
      <c r="A792" s="8">
        <v>61145</v>
      </c>
      <c r="B792" s="10" t="s">
        <v>2022</v>
      </c>
      <c r="C792" s="11" t="s">
        <v>1117</v>
      </c>
      <c r="D792" s="11" t="s">
        <v>2792</v>
      </c>
      <c r="E792" s="11">
        <v>1102.2</v>
      </c>
      <c r="F792" s="11" t="s">
        <v>205</v>
      </c>
      <c r="G792" s="11" t="s">
        <v>2072</v>
      </c>
      <c r="H792" s="9" t="s">
        <v>234</v>
      </c>
      <c r="I792" s="9" t="s">
        <v>235</v>
      </c>
      <c r="J792" s="9" t="s">
        <v>2073</v>
      </c>
    </row>
    <row r="793" spans="1:10">
      <c r="A793" s="8">
        <v>24394</v>
      </c>
      <c r="B793" s="10" t="s">
        <v>423</v>
      </c>
      <c r="C793" s="11" t="s">
        <v>1118</v>
      </c>
      <c r="D793" s="11" t="s">
        <v>2531</v>
      </c>
      <c r="E793" s="11">
        <v>1520.04</v>
      </c>
      <c r="F793" s="11" t="s">
        <v>155</v>
      </c>
      <c r="G793" s="11" t="s">
        <v>2072</v>
      </c>
      <c r="H793" s="9" t="s">
        <v>120</v>
      </c>
      <c r="I793" s="9" t="s">
        <v>121</v>
      </c>
      <c r="J793" s="9" t="s">
        <v>2090</v>
      </c>
    </row>
    <row r="794" spans="1:10">
      <c r="A794" s="8">
        <v>64032</v>
      </c>
      <c r="B794" s="10" t="s">
        <v>2023</v>
      </c>
      <c r="C794" s="11" t="s">
        <v>1249</v>
      </c>
      <c r="D794" s="11" t="s">
        <v>2817</v>
      </c>
      <c r="E794" s="11">
        <v>737.88</v>
      </c>
      <c r="F794" s="11" t="s">
        <v>227</v>
      </c>
      <c r="G794" s="11" t="s">
        <v>2072</v>
      </c>
      <c r="H794" s="9" t="s">
        <v>115</v>
      </c>
      <c r="I794" s="9" t="s">
        <v>116</v>
      </c>
      <c r="J794" s="9" t="s">
        <v>2073</v>
      </c>
    </row>
    <row r="795" spans="1:10">
      <c r="A795" s="8">
        <v>56049</v>
      </c>
      <c r="B795" s="10" t="s">
        <v>1507</v>
      </c>
      <c r="C795" s="11" t="s">
        <v>39</v>
      </c>
      <c r="D795" s="11" t="s">
        <v>2413</v>
      </c>
      <c r="E795" s="11">
        <v>2110.38</v>
      </c>
      <c r="F795" s="11" t="s">
        <v>0</v>
      </c>
      <c r="G795" s="11" t="s">
        <v>2072</v>
      </c>
      <c r="H795" s="9" t="s">
        <v>306</v>
      </c>
      <c r="I795" s="9" t="s">
        <v>307</v>
      </c>
      <c r="J795" s="9" t="s">
        <v>2073</v>
      </c>
    </row>
    <row r="796" spans="1:10">
      <c r="A796" s="8">
        <v>399</v>
      </c>
      <c r="B796" s="10" t="s">
        <v>2024</v>
      </c>
      <c r="C796" s="11" t="s">
        <v>1119</v>
      </c>
      <c r="D796" s="11" t="s">
        <v>2436</v>
      </c>
      <c r="E796" s="11">
        <v>737.88</v>
      </c>
      <c r="F796" s="11" t="s">
        <v>258</v>
      </c>
      <c r="G796" s="11" t="s">
        <v>2072</v>
      </c>
      <c r="H796" s="9" t="s">
        <v>178</v>
      </c>
      <c r="I796" s="9" t="s">
        <v>179</v>
      </c>
      <c r="J796" s="9" t="s">
        <v>2073</v>
      </c>
    </row>
    <row r="797" spans="1:10">
      <c r="A797" s="8">
        <v>65765</v>
      </c>
      <c r="B797" s="10" t="s">
        <v>2025</v>
      </c>
      <c r="C797" s="11" t="s">
        <v>1302</v>
      </c>
      <c r="D797" s="11" t="s">
        <v>2785</v>
      </c>
      <c r="E797" s="11">
        <v>178.58</v>
      </c>
      <c r="F797" s="11" t="s">
        <v>129</v>
      </c>
      <c r="G797" s="11" t="s">
        <v>2072</v>
      </c>
      <c r="H797" s="9" t="s">
        <v>819</v>
      </c>
      <c r="I797" s="9" t="s">
        <v>820</v>
      </c>
      <c r="J797" s="9" t="s">
        <v>2176</v>
      </c>
    </row>
    <row r="798" spans="1:10">
      <c r="A798" s="8">
        <v>59285</v>
      </c>
      <c r="B798" s="10" t="s">
        <v>2026</v>
      </c>
      <c r="C798" s="11" t="s">
        <v>1120</v>
      </c>
      <c r="D798" s="11" t="s">
        <v>2770</v>
      </c>
      <c r="E798" s="11">
        <v>357.12</v>
      </c>
      <c r="F798" s="11" t="s">
        <v>129</v>
      </c>
      <c r="G798" s="11" t="s">
        <v>2072</v>
      </c>
      <c r="H798" s="9" t="s">
        <v>1121</v>
      </c>
      <c r="I798" s="9" t="s">
        <v>1122</v>
      </c>
      <c r="J798" s="9" t="s">
        <v>2163</v>
      </c>
    </row>
    <row r="799" spans="1:10">
      <c r="A799" s="8">
        <v>59689</v>
      </c>
      <c r="B799" s="10" t="s">
        <v>2027</v>
      </c>
      <c r="C799" s="11" t="s">
        <v>1123</v>
      </c>
      <c r="D799" s="11" t="s">
        <v>2976</v>
      </c>
      <c r="E799" s="11">
        <v>878.5</v>
      </c>
      <c r="F799" s="11" t="s">
        <v>113</v>
      </c>
      <c r="G799" s="11" t="s">
        <v>2072</v>
      </c>
      <c r="H799" s="9" t="s">
        <v>392</v>
      </c>
      <c r="I799" s="9" t="s">
        <v>393</v>
      </c>
      <c r="J799" s="9" t="s">
        <v>2144</v>
      </c>
    </row>
    <row r="800" spans="1:10">
      <c r="A800" s="8">
        <v>23183</v>
      </c>
      <c r="B800" s="10" t="s">
        <v>672</v>
      </c>
      <c r="C800" s="11" t="s">
        <v>1124</v>
      </c>
      <c r="D800" s="11" t="s">
        <v>2523</v>
      </c>
      <c r="E800" s="11">
        <v>1835.61</v>
      </c>
      <c r="F800" s="11" t="s">
        <v>475</v>
      </c>
      <c r="G800" s="11" t="s">
        <v>2072</v>
      </c>
      <c r="H800" s="9" t="s">
        <v>366</v>
      </c>
      <c r="I800" s="9" t="s">
        <v>367</v>
      </c>
      <c r="J800" s="9" t="s">
        <v>2073</v>
      </c>
    </row>
    <row r="801" spans="1:10">
      <c r="A801" s="8">
        <v>24237</v>
      </c>
      <c r="B801" s="10" t="s">
        <v>2028</v>
      </c>
      <c r="C801" s="11" t="s">
        <v>1125</v>
      </c>
      <c r="D801" s="11" t="s">
        <v>2531</v>
      </c>
      <c r="E801" s="11">
        <v>1520.04</v>
      </c>
      <c r="F801" s="11" t="s">
        <v>155</v>
      </c>
      <c r="G801" s="11" t="s">
        <v>2072</v>
      </c>
      <c r="H801" s="9" t="s">
        <v>243</v>
      </c>
      <c r="I801" s="9" t="s">
        <v>244</v>
      </c>
      <c r="J801" s="9" t="s">
        <v>2073</v>
      </c>
    </row>
    <row r="802" spans="1:10">
      <c r="A802" s="8">
        <v>61384</v>
      </c>
      <c r="B802" s="10" t="s">
        <v>2029</v>
      </c>
      <c r="C802" s="11" t="s">
        <v>1126</v>
      </c>
      <c r="D802" s="11" t="s">
        <v>2557</v>
      </c>
      <c r="E802" s="11">
        <v>737.88</v>
      </c>
      <c r="F802" s="11" t="s">
        <v>420</v>
      </c>
      <c r="G802" s="11" t="s">
        <v>2072</v>
      </c>
      <c r="H802" s="9" t="s">
        <v>248</v>
      </c>
      <c r="I802" s="9" t="s">
        <v>249</v>
      </c>
      <c r="J802" s="9" t="s">
        <v>2073</v>
      </c>
    </row>
    <row r="803" spans="1:10">
      <c r="A803" s="8">
        <v>4137</v>
      </c>
      <c r="B803" s="10" t="s">
        <v>2030</v>
      </c>
      <c r="C803" s="11" t="s">
        <v>1127</v>
      </c>
      <c r="D803" s="11" t="s">
        <v>2451</v>
      </c>
      <c r="E803" s="11">
        <v>955.15</v>
      </c>
      <c r="F803" s="11" t="s">
        <v>113</v>
      </c>
      <c r="G803" s="11" t="s">
        <v>2072</v>
      </c>
      <c r="H803" s="9" t="s">
        <v>131</v>
      </c>
      <c r="I803" s="9" t="s">
        <v>132</v>
      </c>
      <c r="J803" s="9" t="s">
        <v>2073</v>
      </c>
    </row>
    <row r="804" spans="1:10">
      <c r="A804" s="8">
        <v>23831</v>
      </c>
      <c r="B804" s="10" t="s">
        <v>2031</v>
      </c>
      <c r="C804" s="11" t="s">
        <v>1128</v>
      </c>
      <c r="D804" s="11" t="s">
        <v>2529</v>
      </c>
      <c r="E804" s="11">
        <v>822.96</v>
      </c>
      <c r="F804" s="11" t="s">
        <v>133</v>
      </c>
      <c r="G804" s="11" t="s">
        <v>2072</v>
      </c>
      <c r="H804" s="9" t="s">
        <v>438</v>
      </c>
      <c r="I804" s="9" t="s">
        <v>439</v>
      </c>
      <c r="J804" s="9" t="s">
        <v>2073</v>
      </c>
    </row>
    <row r="805" spans="1:10">
      <c r="A805" s="8">
        <v>56099</v>
      </c>
      <c r="B805" s="10" t="s">
        <v>1508</v>
      </c>
      <c r="C805" s="11" t="s">
        <v>97</v>
      </c>
      <c r="D805" s="11" t="s">
        <v>2413</v>
      </c>
      <c r="E805" s="11">
        <v>2110.38</v>
      </c>
      <c r="F805" s="11" t="s">
        <v>0</v>
      </c>
      <c r="G805" s="11" t="s">
        <v>2072</v>
      </c>
      <c r="H805" s="9" t="s">
        <v>416</v>
      </c>
      <c r="I805" s="9" t="s">
        <v>417</v>
      </c>
      <c r="J805" s="9" t="s">
        <v>2080</v>
      </c>
    </row>
    <row r="806" spans="1:10">
      <c r="A806" s="8">
        <v>56023</v>
      </c>
      <c r="B806" s="10" t="s">
        <v>1509</v>
      </c>
      <c r="C806" s="11" t="s">
        <v>40</v>
      </c>
      <c r="D806" s="11" t="s">
        <v>2413</v>
      </c>
      <c r="E806" s="11">
        <v>2110.38</v>
      </c>
      <c r="F806" s="11" t="s">
        <v>0</v>
      </c>
      <c r="G806" s="11" t="s">
        <v>2072</v>
      </c>
      <c r="H806" s="9" t="s">
        <v>306</v>
      </c>
      <c r="I806" s="9" t="s">
        <v>307</v>
      </c>
      <c r="J806" s="9" t="s">
        <v>2073</v>
      </c>
    </row>
    <row r="807" spans="1:10">
      <c r="A807" s="8">
        <v>15038</v>
      </c>
      <c r="B807" s="10" t="s">
        <v>2032</v>
      </c>
      <c r="C807" s="11" t="s">
        <v>1129</v>
      </c>
      <c r="D807" s="11" t="s">
        <v>2494</v>
      </c>
      <c r="E807" s="11">
        <v>1520.04</v>
      </c>
      <c r="F807" s="11" t="s">
        <v>155</v>
      </c>
      <c r="G807" s="11" t="s">
        <v>2072</v>
      </c>
      <c r="H807" s="9" t="s">
        <v>214</v>
      </c>
      <c r="I807" s="9" t="s">
        <v>215</v>
      </c>
      <c r="J807" s="9" t="s">
        <v>2073</v>
      </c>
    </row>
    <row r="808" spans="1:10">
      <c r="A808" s="8">
        <v>4229</v>
      </c>
      <c r="B808" s="10" t="s">
        <v>2033</v>
      </c>
      <c r="C808" s="11" t="s">
        <v>1130</v>
      </c>
      <c r="D808" s="11" t="s">
        <v>2451</v>
      </c>
      <c r="E808" s="11">
        <v>1648.29</v>
      </c>
      <c r="F808" s="11" t="s">
        <v>458</v>
      </c>
      <c r="G808" s="11" t="s">
        <v>2072</v>
      </c>
      <c r="H808" s="9" t="s">
        <v>115</v>
      </c>
      <c r="I808" s="9" t="s">
        <v>116</v>
      </c>
      <c r="J808" s="9" t="s">
        <v>2073</v>
      </c>
    </row>
    <row r="809" spans="1:10">
      <c r="A809" s="8">
        <v>37845</v>
      </c>
      <c r="B809" s="10" t="s">
        <v>627</v>
      </c>
      <c r="C809" s="11" t="s">
        <v>1131</v>
      </c>
      <c r="D809" s="11" t="s">
        <v>2977</v>
      </c>
      <c r="E809" s="11">
        <v>584.38</v>
      </c>
      <c r="F809" s="11" t="s">
        <v>129</v>
      </c>
      <c r="G809" s="11" t="s">
        <v>2072</v>
      </c>
      <c r="H809" s="9" t="s">
        <v>322</v>
      </c>
      <c r="I809" s="9" t="s">
        <v>323</v>
      </c>
      <c r="J809" s="9" t="s">
        <v>2114</v>
      </c>
    </row>
    <row r="810" spans="1:10">
      <c r="A810" s="8">
        <v>38424</v>
      </c>
      <c r="B810" s="10" t="s">
        <v>2034</v>
      </c>
      <c r="C810" s="11" t="s">
        <v>1132</v>
      </c>
      <c r="D810" s="11" t="s">
        <v>2978</v>
      </c>
      <c r="E810" s="11">
        <v>822.96</v>
      </c>
      <c r="F810" s="11" t="s">
        <v>133</v>
      </c>
      <c r="G810" s="11" t="s">
        <v>2081</v>
      </c>
      <c r="H810" s="9" t="s">
        <v>178</v>
      </c>
      <c r="I810" s="9" t="s">
        <v>179</v>
      </c>
      <c r="J810" s="9" t="s">
        <v>2073</v>
      </c>
    </row>
    <row r="811" spans="1:10">
      <c r="A811" s="8">
        <v>4044</v>
      </c>
      <c r="B811" s="10" t="s">
        <v>2035</v>
      </c>
      <c r="C811" s="11" t="s">
        <v>1133</v>
      </c>
      <c r="D811" s="11" t="s">
        <v>2451</v>
      </c>
      <c r="E811" s="11">
        <v>822.96</v>
      </c>
      <c r="F811" s="11" t="s">
        <v>133</v>
      </c>
      <c r="G811" s="11" t="s">
        <v>2072</v>
      </c>
      <c r="H811" s="9" t="s">
        <v>115</v>
      </c>
      <c r="I811" s="9" t="s">
        <v>116</v>
      </c>
      <c r="J811" s="9" t="s">
        <v>2073</v>
      </c>
    </row>
    <row r="812" spans="1:10">
      <c r="A812" s="8">
        <v>65449</v>
      </c>
      <c r="B812" s="10" t="s">
        <v>2036</v>
      </c>
      <c r="C812" s="11" t="s">
        <v>1134</v>
      </c>
      <c r="D812" s="11" t="s">
        <v>2834</v>
      </c>
      <c r="E812" s="11">
        <v>714.24</v>
      </c>
      <c r="F812" s="11" t="s">
        <v>129</v>
      </c>
      <c r="G812" s="11" t="s">
        <v>2072</v>
      </c>
      <c r="H812" s="9" t="s">
        <v>870</v>
      </c>
      <c r="I812" s="9" t="s">
        <v>47</v>
      </c>
      <c r="J812" s="9" t="s">
        <v>2098</v>
      </c>
    </row>
    <row r="813" spans="1:10">
      <c r="A813" s="8">
        <v>5737</v>
      </c>
      <c r="B813" s="10" t="s">
        <v>2037</v>
      </c>
      <c r="C813" s="11" t="s">
        <v>1135</v>
      </c>
      <c r="D813" s="11" t="s">
        <v>2459</v>
      </c>
      <c r="E813" s="11">
        <v>1140.71</v>
      </c>
      <c r="F813" s="11" t="s">
        <v>203</v>
      </c>
      <c r="G813" s="11" t="s">
        <v>2072</v>
      </c>
      <c r="H813" s="9" t="s">
        <v>115</v>
      </c>
      <c r="I813" s="9" t="s">
        <v>116</v>
      </c>
      <c r="J813" s="9" t="s">
        <v>2073</v>
      </c>
    </row>
    <row r="814" spans="1:10">
      <c r="A814" s="8">
        <v>51772</v>
      </c>
      <c r="B814" s="10" t="s">
        <v>1067</v>
      </c>
      <c r="C814" s="11" t="s">
        <v>1136</v>
      </c>
      <c r="D814" s="11" t="s">
        <v>2675</v>
      </c>
      <c r="E814" s="11">
        <v>1093.3699999999999</v>
      </c>
      <c r="F814" s="11" t="s">
        <v>117</v>
      </c>
      <c r="G814" s="11" t="s">
        <v>2072</v>
      </c>
      <c r="H814" s="9" t="s">
        <v>146</v>
      </c>
      <c r="I814" s="9" t="s">
        <v>4</v>
      </c>
      <c r="J814" s="9" t="s">
        <v>2073</v>
      </c>
    </row>
    <row r="815" spans="1:10">
      <c r="A815" s="8">
        <v>22877</v>
      </c>
      <c r="B815" s="10" t="s">
        <v>257</v>
      </c>
      <c r="C815" s="11" t="s">
        <v>1137</v>
      </c>
      <c r="D815" s="11" t="s">
        <v>2519</v>
      </c>
      <c r="E815" s="11">
        <v>737.88</v>
      </c>
      <c r="F815" s="11" t="s">
        <v>129</v>
      </c>
      <c r="G815" s="11" t="s">
        <v>2072</v>
      </c>
      <c r="H815" s="9" t="s">
        <v>169</v>
      </c>
      <c r="I815" s="9" t="s">
        <v>66</v>
      </c>
      <c r="J815" s="9" t="s">
        <v>2088</v>
      </c>
    </row>
    <row r="816" spans="1:10">
      <c r="A816" s="8">
        <v>16505</v>
      </c>
      <c r="B816" s="10" t="s">
        <v>1087</v>
      </c>
      <c r="C816" s="11" t="s">
        <v>1140</v>
      </c>
      <c r="D816" s="11" t="s">
        <v>2501</v>
      </c>
      <c r="E816" s="11">
        <v>714.24</v>
      </c>
      <c r="F816" s="11" t="s">
        <v>129</v>
      </c>
      <c r="G816" s="11" t="s">
        <v>2072</v>
      </c>
      <c r="H816" s="9" t="s">
        <v>347</v>
      </c>
      <c r="I816" s="9" t="s">
        <v>74</v>
      </c>
      <c r="J816" s="9" t="s">
        <v>2086</v>
      </c>
    </row>
    <row r="817" spans="1:10">
      <c r="A817" s="8">
        <v>429</v>
      </c>
      <c r="B817" s="10" t="s">
        <v>2038</v>
      </c>
      <c r="C817" s="11" t="s">
        <v>1141</v>
      </c>
      <c r="D817" s="11" t="s">
        <v>2439</v>
      </c>
      <c r="E817" s="11">
        <v>737.88</v>
      </c>
      <c r="F817" s="11" t="s">
        <v>129</v>
      </c>
      <c r="G817" s="11" t="s">
        <v>2072</v>
      </c>
      <c r="H817" s="9" t="s">
        <v>438</v>
      </c>
      <c r="I817" s="9" t="s">
        <v>439</v>
      </c>
      <c r="J817" s="9" t="s">
        <v>2073</v>
      </c>
    </row>
    <row r="818" spans="1:10">
      <c r="A818" s="8">
        <v>65745</v>
      </c>
      <c r="B818" s="10" t="s">
        <v>2039</v>
      </c>
      <c r="C818" s="11" t="s">
        <v>1303</v>
      </c>
      <c r="D818" s="11" t="s">
        <v>2836</v>
      </c>
      <c r="E818" s="11">
        <v>737.88</v>
      </c>
      <c r="F818" s="11" t="s">
        <v>122</v>
      </c>
      <c r="G818" s="11" t="s">
        <v>2072</v>
      </c>
      <c r="H818" s="9" t="s">
        <v>164</v>
      </c>
      <c r="I818" s="9" t="s">
        <v>165</v>
      </c>
      <c r="J818" s="9" t="s">
        <v>2073</v>
      </c>
    </row>
    <row r="819" spans="1:10">
      <c r="A819" s="8">
        <v>21721</v>
      </c>
      <c r="B819" s="10" t="s">
        <v>2040</v>
      </c>
      <c r="C819" s="11" t="s">
        <v>1142</v>
      </c>
      <c r="D819" s="11" t="s">
        <v>2514</v>
      </c>
      <c r="E819" s="11">
        <v>1648.29</v>
      </c>
      <c r="F819" s="11" t="s">
        <v>458</v>
      </c>
      <c r="G819" s="11" t="s">
        <v>2072</v>
      </c>
      <c r="H819" s="9" t="s">
        <v>131</v>
      </c>
      <c r="I819" s="9" t="s">
        <v>132</v>
      </c>
      <c r="J819" s="9" t="s">
        <v>2073</v>
      </c>
    </row>
    <row r="820" spans="1:10">
      <c r="A820" s="8">
        <v>47923</v>
      </c>
      <c r="B820" s="10" t="s">
        <v>2041</v>
      </c>
      <c r="C820" s="11" t="s">
        <v>1143</v>
      </c>
      <c r="D820" s="11" t="s">
        <v>2632</v>
      </c>
      <c r="E820" s="11">
        <v>1093.3699999999999</v>
      </c>
      <c r="F820" s="11" t="s">
        <v>117</v>
      </c>
      <c r="G820" s="11" t="s">
        <v>2072</v>
      </c>
      <c r="H820" s="9" t="s">
        <v>115</v>
      </c>
      <c r="I820" s="9" t="s">
        <v>116</v>
      </c>
      <c r="J820" s="9" t="s">
        <v>2073</v>
      </c>
    </row>
    <row r="821" spans="1:10">
      <c r="A821" s="8">
        <v>63993</v>
      </c>
      <c r="B821" s="10" t="s">
        <v>2042</v>
      </c>
      <c r="C821" s="11" t="s">
        <v>1250</v>
      </c>
      <c r="D821" s="11" t="s">
        <v>2816</v>
      </c>
      <c r="E821" s="11">
        <v>737.88</v>
      </c>
      <c r="F821" s="11" t="s">
        <v>227</v>
      </c>
      <c r="G821" s="11" t="s">
        <v>2072</v>
      </c>
      <c r="H821" s="9" t="s">
        <v>115</v>
      </c>
      <c r="I821" s="9" t="s">
        <v>116</v>
      </c>
      <c r="J821" s="9" t="s">
        <v>2073</v>
      </c>
    </row>
    <row r="822" spans="1:10">
      <c r="A822" s="8">
        <v>28891</v>
      </c>
      <c r="B822" s="10" t="s">
        <v>2043</v>
      </c>
      <c r="C822" s="11" t="s">
        <v>1144</v>
      </c>
      <c r="D822" s="11" t="s">
        <v>2542</v>
      </c>
      <c r="E822" s="11">
        <v>1520.04</v>
      </c>
      <c r="F822" s="11" t="s">
        <v>155</v>
      </c>
      <c r="G822" s="11" t="s">
        <v>2072</v>
      </c>
      <c r="H822" s="9" t="s">
        <v>115</v>
      </c>
      <c r="I822" s="9" t="s">
        <v>116</v>
      </c>
      <c r="J822" s="9" t="s">
        <v>2073</v>
      </c>
    </row>
    <row r="823" spans="1:10">
      <c r="A823" s="8">
        <v>14824</v>
      </c>
      <c r="B823" s="10" t="s">
        <v>806</v>
      </c>
      <c r="C823" s="11" t="s">
        <v>1145</v>
      </c>
      <c r="D823" s="11" t="s">
        <v>2489</v>
      </c>
      <c r="E823" s="11">
        <v>714.24</v>
      </c>
      <c r="F823" s="11" t="s">
        <v>129</v>
      </c>
      <c r="G823" s="11" t="s">
        <v>2072</v>
      </c>
      <c r="H823" s="9" t="s">
        <v>710</v>
      </c>
      <c r="I823" s="9" t="s">
        <v>72</v>
      </c>
      <c r="J823" s="9" t="s">
        <v>2082</v>
      </c>
    </row>
    <row r="824" spans="1:10">
      <c r="A824" s="8">
        <v>65525</v>
      </c>
      <c r="B824" s="10" t="s">
        <v>2044</v>
      </c>
      <c r="C824" s="11" t="s">
        <v>1304</v>
      </c>
      <c r="D824" s="11" t="s">
        <v>2785</v>
      </c>
      <c r="E824" s="11">
        <v>737.88</v>
      </c>
      <c r="F824" s="11" t="s">
        <v>129</v>
      </c>
      <c r="G824" s="11" t="s">
        <v>2072</v>
      </c>
      <c r="H824" s="9" t="s">
        <v>146</v>
      </c>
      <c r="I824" s="9" t="s">
        <v>4</v>
      </c>
      <c r="J824" s="9" t="s">
        <v>2073</v>
      </c>
    </row>
    <row r="825" spans="1:10">
      <c r="A825" s="8">
        <v>56029</v>
      </c>
      <c r="B825" s="10" t="s">
        <v>1510</v>
      </c>
      <c r="C825" s="11" t="s">
        <v>41</v>
      </c>
      <c r="D825" s="11" t="s">
        <v>2413</v>
      </c>
      <c r="E825" s="11">
        <v>2110.38</v>
      </c>
      <c r="F825" s="11" t="s">
        <v>0</v>
      </c>
      <c r="G825" s="11" t="s">
        <v>2072</v>
      </c>
      <c r="H825" s="9" t="s">
        <v>234</v>
      </c>
      <c r="I825" s="9" t="s">
        <v>235</v>
      </c>
      <c r="J825" s="9" t="s">
        <v>2201</v>
      </c>
    </row>
    <row r="826" spans="1:10">
      <c r="A826" s="8">
        <v>4106</v>
      </c>
      <c r="B826" s="10" t="s">
        <v>2045</v>
      </c>
      <c r="C826" s="11" t="s">
        <v>1146</v>
      </c>
      <c r="D826" s="11" t="s">
        <v>2451</v>
      </c>
      <c r="E826" s="11">
        <v>1520.04</v>
      </c>
      <c r="F826" s="11" t="s">
        <v>155</v>
      </c>
      <c r="G826" s="11" t="s">
        <v>2072</v>
      </c>
      <c r="H826" s="9" t="s">
        <v>115</v>
      </c>
      <c r="I826" s="9" t="s">
        <v>116</v>
      </c>
      <c r="J826" s="9" t="s">
        <v>2073</v>
      </c>
    </row>
    <row r="827" spans="1:10">
      <c r="A827" s="8">
        <v>4722</v>
      </c>
      <c r="B827" s="10" t="s">
        <v>2046</v>
      </c>
      <c r="C827" s="11" t="s">
        <v>1147</v>
      </c>
      <c r="D827" s="11" t="s">
        <v>2455</v>
      </c>
      <c r="E827" s="11">
        <v>1140.71</v>
      </c>
      <c r="F827" s="11" t="s">
        <v>203</v>
      </c>
      <c r="G827" s="11" t="s">
        <v>2072</v>
      </c>
      <c r="H827" s="9" t="s">
        <v>115</v>
      </c>
      <c r="I827" s="9" t="s">
        <v>116</v>
      </c>
      <c r="J827" s="9" t="s">
        <v>2073</v>
      </c>
    </row>
    <row r="828" spans="1:10">
      <c r="A828" s="8">
        <v>22745</v>
      </c>
      <c r="B828" s="10" t="s">
        <v>1046</v>
      </c>
      <c r="C828" s="11" t="s">
        <v>1148</v>
      </c>
      <c r="D828" s="11" t="s">
        <v>2518</v>
      </c>
      <c r="E828" s="11">
        <v>1648.29</v>
      </c>
      <c r="F828" s="11" t="s">
        <v>458</v>
      </c>
      <c r="G828" s="11" t="s">
        <v>2072</v>
      </c>
      <c r="H828" s="9" t="s">
        <v>146</v>
      </c>
      <c r="I828" s="9" t="s">
        <v>4</v>
      </c>
      <c r="J828" s="9" t="s">
        <v>2073</v>
      </c>
    </row>
    <row r="829" spans="1:10">
      <c r="A829" s="8">
        <v>53877</v>
      </c>
      <c r="B829" s="10" t="s">
        <v>2047</v>
      </c>
      <c r="C829" s="11" t="s">
        <v>1149</v>
      </c>
      <c r="D829" s="11" t="s">
        <v>2890</v>
      </c>
      <c r="E829" s="11">
        <v>955.14</v>
      </c>
      <c r="F829" s="11" t="s">
        <v>113</v>
      </c>
      <c r="G829" s="11" t="s">
        <v>2074</v>
      </c>
      <c r="H829" s="9" t="s">
        <v>169</v>
      </c>
      <c r="I829" s="9" t="s">
        <v>66</v>
      </c>
      <c r="J829" s="9" t="s">
        <v>2088</v>
      </c>
    </row>
    <row r="830" spans="1:10">
      <c r="A830" s="8">
        <v>37536</v>
      </c>
      <c r="B830" s="10" t="s">
        <v>2048</v>
      </c>
      <c r="C830" s="11" t="s">
        <v>1150</v>
      </c>
      <c r="D830" s="11" t="s">
        <v>2581</v>
      </c>
      <c r="E830" s="11">
        <v>1835.61</v>
      </c>
      <c r="F830" s="11" t="s">
        <v>475</v>
      </c>
      <c r="G830" s="11" t="s">
        <v>2072</v>
      </c>
      <c r="H830" s="9" t="s">
        <v>115</v>
      </c>
      <c r="I830" s="9" t="s">
        <v>116</v>
      </c>
      <c r="J830" s="9" t="s">
        <v>2073</v>
      </c>
    </row>
    <row r="831" spans="1:10">
      <c r="A831" s="8">
        <v>46900</v>
      </c>
      <c r="B831" s="10" t="s">
        <v>2049</v>
      </c>
      <c r="C831" s="11" t="s">
        <v>1151</v>
      </c>
      <c r="D831" s="11" t="s">
        <v>2623</v>
      </c>
      <c r="E831" s="11">
        <v>955.15</v>
      </c>
      <c r="F831" s="11" t="s">
        <v>113</v>
      </c>
      <c r="G831" s="11" t="s">
        <v>2072</v>
      </c>
      <c r="H831" s="9" t="s">
        <v>115</v>
      </c>
      <c r="I831" s="9" t="s">
        <v>116</v>
      </c>
      <c r="J831" s="9" t="s">
        <v>2073</v>
      </c>
    </row>
    <row r="832" spans="1:10">
      <c r="A832" s="8">
        <v>67321</v>
      </c>
      <c r="B832" s="10" t="s">
        <v>2050</v>
      </c>
      <c r="C832" s="11" t="s">
        <v>2051</v>
      </c>
      <c r="D832" s="11" t="s">
        <v>2805</v>
      </c>
      <c r="E832" s="11">
        <v>878.5</v>
      </c>
      <c r="F832" s="11" t="s">
        <v>113</v>
      </c>
      <c r="G832" s="11" t="s">
        <v>2072</v>
      </c>
      <c r="H832" s="9" t="s">
        <v>1785</v>
      </c>
      <c r="I832" s="9" t="s">
        <v>1786</v>
      </c>
      <c r="J832" s="9" t="s">
        <v>2177</v>
      </c>
    </row>
    <row r="833" spans="1:10">
      <c r="A833" s="8">
        <v>66194</v>
      </c>
      <c r="B833" s="10" t="s">
        <v>2052</v>
      </c>
      <c r="C833" s="11" t="s">
        <v>1321</v>
      </c>
      <c r="D833" s="11" t="s">
        <v>2843</v>
      </c>
      <c r="E833" s="11">
        <v>368.97</v>
      </c>
      <c r="F833" s="11" t="s">
        <v>129</v>
      </c>
      <c r="G833" s="11" t="s">
        <v>2072</v>
      </c>
      <c r="H833" s="9" t="s">
        <v>142</v>
      </c>
      <c r="I833" s="9" t="s">
        <v>143</v>
      </c>
      <c r="J833" s="9" t="s">
        <v>2073</v>
      </c>
    </row>
    <row r="834" spans="1:10">
      <c r="A834" s="8">
        <v>61787</v>
      </c>
      <c r="B834" s="10" t="s">
        <v>2053</v>
      </c>
      <c r="C834" s="11" t="s">
        <v>1183</v>
      </c>
      <c r="D834" s="11" t="s">
        <v>2801</v>
      </c>
      <c r="E834" s="11">
        <v>878.5</v>
      </c>
      <c r="F834" s="11" t="s">
        <v>113</v>
      </c>
      <c r="G834" s="11" t="s">
        <v>2072</v>
      </c>
      <c r="H834" s="9" t="s">
        <v>1175</v>
      </c>
      <c r="I834" s="9" t="s">
        <v>1176</v>
      </c>
      <c r="J834" s="9" t="s">
        <v>2168</v>
      </c>
    </row>
    <row r="835" spans="1:10">
      <c r="A835" s="8">
        <v>56027</v>
      </c>
      <c r="B835" s="10" t="s">
        <v>1511</v>
      </c>
      <c r="C835" s="11" t="s">
        <v>42</v>
      </c>
      <c r="D835" s="11" t="s">
        <v>2413</v>
      </c>
      <c r="E835" s="11">
        <v>2110.38</v>
      </c>
      <c r="F835" s="11" t="s">
        <v>0</v>
      </c>
      <c r="G835" s="11" t="s">
        <v>2072</v>
      </c>
      <c r="H835" s="9" t="s">
        <v>306</v>
      </c>
      <c r="I835" s="9" t="s">
        <v>307</v>
      </c>
      <c r="J835" s="9" t="s">
        <v>2073</v>
      </c>
    </row>
    <row r="836" spans="1:10">
      <c r="A836" s="8">
        <v>53713</v>
      </c>
      <c r="B836" s="10" t="s">
        <v>2054</v>
      </c>
      <c r="C836" s="11" t="s">
        <v>1152</v>
      </c>
      <c r="D836" s="11" t="s">
        <v>2890</v>
      </c>
      <c r="E836" s="11">
        <v>955.14</v>
      </c>
      <c r="F836" s="11" t="s">
        <v>113</v>
      </c>
      <c r="G836" s="11" t="s">
        <v>2072</v>
      </c>
      <c r="H836" s="9" t="s">
        <v>169</v>
      </c>
      <c r="I836" s="9" t="s">
        <v>66</v>
      </c>
      <c r="J836" s="9" t="s">
        <v>2088</v>
      </c>
    </row>
    <row r="837" spans="1:10">
      <c r="A837" s="8">
        <v>53704</v>
      </c>
      <c r="B837" s="10" t="s">
        <v>2055</v>
      </c>
      <c r="C837" s="11" t="s">
        <v>1153</v>
      </c>
      <c r="D837" s="11" t="s">
        <v>2701</v>
      </c>
      <c r="E837" s="11">
        <v>1093.3699999999999</v>
      </c>
      <c r="F837" s="11" t="s">
        <v>117</v>
      </c>
      <c r="G837" s="11" t="s">
        <v>2072</v>
      </c>
      <c r="H837" s="9" t="s">
        <v>146</v>
      </c>
      <c r="I837" s="9" t="s">
        <v>4</v>
      </c>
      <c r="J837" s="9" t="s">
        <v>2073</v>
      </c>
    </row>
    <row r="838" spans="1:10">
      <c r="A838" s="8">
        <v>61372</v>
      </c>
      <c r="B838" s="10" t="s">
        <v>2056</v>
      </c>
      <c r="C838" s="11" t="s">
        <v>1154</v>
      </c>
      <c r="D838" s="11" t="s">
        <v>2793</v>
      </c>
      <c r="E838" s="11">
        <v>737.88</v>
      </c>
      <c r="F838" s="11" t="s">
        <v>129</v>
      </c>
      <c r="G838" s="11" t="s">
        <v>2072</v>
      </c>
      <c r="H838" s="9" t="s">
        <v>314</v>
      </c>
      <c r="I838" s="9" t="s">
        <v>315</v>
      </c>
      <c r="J838" s="9" t="s">
        <v>2150</v>
      </c>
    </row>
    <row r="839" spans="1:10">
      <c r="A839" s="8">
        <v>53754</v>
      </c>
      <c r="B839" s="10" t="s">
        <v>2057</v>
      </c>
      <c r="C839" s="11" t="s">
        <v>1155</v>
      </c>
      <c r="D839" s="11" t="s">
        <v>2979</v>
      </c>
      <c r="E839" s="11">
        <v>1093.3699999999999</v>
      </c>
      <c r="F839" s="11" t="s">
        <v>117</v>
      </c>
      <c r="G839" s="11" t="s">
        <v>2112</v>
      </c>
      <c r="H839" s="9" t="s">
        <v>146</v>
      </c>
      <c r="I839" s="9" t="s">
        <v>4</v>
      </c>
      <c r="J839" s="9" t="s">
        <v>2073</v>
      </c>
    </row>
    <row r="840" spans="1:10">
      <c r="A840" s="8">
        <v>56025</v>
      </c>
      <c r="B840" s="10" t="s">
        <v>1512</v>
      </c>
      <c r="C840" s="11" t="s">
        <v>43</v>
      </c>
      <c r="D840" s="11" t="s">
        <v>2413</v>
      </c>
      <c r="E840" s="11">
        <v>2110.38</v>
      </c>
      <c r="F840" s="11" t="s">
        <v>0</v>
      </c>
      <c r="G840" s="11" t="s">
        <v>2072</v>
      </c>
      <c r="H840" s="9" t="s">
        <v>306</v>
      </c>
      <c r="I840" s="9" t="s">
        <v>307</v>
      </c>
      <c r="J840" s="9" t="s">
        <v>2073</v>
      </c>
    </row>
    <row r="841" spans="1:10">
      <c r="A841" s="8">
        <v>56028</v>
      </c>
      <c r="B841" s="10" t="s">
        <v>1513</v>
      </c>
      <c r="C841" s="11" t="s">
        <v>44</v>
      </c>
      <c r="D841" s="11" t="s">
        <v>2413</v>
      </c>
      <c r="E841" s="11">
        <v>2110.38</v>
      </c>
      <c r="F841" s="11" t="s">
        <v>0</v>
      </c>
      <c r="G841" s="11" t="s">
        <v>2072</v>
      </c>
      <c r="H841" s="9" t="s">
        <v>306</v>
      </c>
      <c r="I841" s="9" t="s">
        <v>307</v>
      </c>
      <c r="J841" s="9" t="s">
        <v>2073</v>
      </c>
    </row>
    <row r="842" spans="1:10">
      <c r="A842" s="8">
        <v>54526</v>
      </c>
      <c r="B842" s="10" t="s">
        <v>2058</v>
      </c>
      <c r="C842" s="11" t="s">
        <v>1156</v>
      </c>
      <c r="D842" s="11" t="s">
        <v>2714</v>
      </c>
      <c r="E842" s="11">
        <v>955.14</v>
      </c>
      <c r="F842" s="11" t="s">
        <v>113</v>
      </c>
      <c r="G842" s="11" t="s">
        <v>2072</v>
      </c>
      <c r="H842" s="9" t="s">
        <v>537</v>
      </c>
      <c r="I842" s="9" t="s">
        <v>538</v>
      </c>
      <c r="J842" s="9" t="s">
        <v>2148</v>
      </c>
    </row>
    <row r="843" spans="1:10">
      <c r="A843" s="8">
        <v>67070</v>
      </c>
      <c r="B843" s="10" t="s">
        <v>2059</v>
      </c>
      <c r="C843" s="11" t="s">
        <v>2060</v>
      </c>
      <c r="D843" s="11" t="s">
        <v>2980</v>
      </c>
      <c r="E843" s="11">
        <v>822.96</v>
      </c>
      <c r="F843" s="11" t="s">
        <v>133</v>
      </c>
      <c r="G843" s="11" t="s">
        <v>2072</v>
      </c>
      <c r="H843" s="9" t="s">
        <v>250</v>
      </c>
      <c r="I843" s="9" t="s">
        <v>90</v>
      </c>
      <c r="J843" s="9" t="s">
        <v>2076</v>
      </c>
    </row>
    <row r="844" spans="1:10">
      <c r="A844" s="8">
        <v>40802</v>
      </c>
      <c r="B844" s="10" t="s">
        <v>2061</v>
      </c>
      <c r="C844" s="11" t="s">
        <v>1157</v>
      </c>
      <c r="D844" s="11" t="s">
        <v>2599</v>
      </c>
      <c r="E844" s="11">
        <v>955.15</v>
      </c>
      <c r="F844" s="11" t="s">
        <v>113</v>
      </c>
      <c r="G844" s="11" t="s">
        <v>2072</v>
      </c>
      <c r="H844" s="9" t="s">
        <v>115</v>
      </c>
      <c r="I844" s="9" t="s">
        <v>116</v>
      </c>
      <c r="J844" s="9" t="s">
        <v>2073</v>
      </c>
    </row>
    <row r="845" spans="1:10">
      <c r="A845" s="8">
        <v>67525</v>
      </c>
      <c r="B845" s="10" t="s">
        <v>2242</v>
      </c>
      <c r="C845" s="11" t="s">
        <v>1158</v>
      </c>
      <c r="D845" s="11" t="s">
        <v>2861</v>
      </c>
      <c r="E845" s="11">
        <v>1102.2</v>
      </c>
      <c r="F845" s="11" t="s">
        <v>205</v>
      </c>
      <c r="G845" s="11" t="s">
        <v>2072</v>
      </c>
      <c r="H845" s="9" t="s">
        <v>306</v>
      </c>
      <c r="I845" s="9" t="s">
        <v>307</v>
      </c>
      <c r="J845" s="9" t="s">
        <v>2073</v>
      </c>
    </row>
    <row r="846" spans="1:10">
      <c r="A846" s="8">
        <v>66267</v>
      </c>
      <c r="B846" s="10" t="s">
        <v>1514</v>
      </c>
      <c r="C846" s="11" t="s">
        <v>1322</v>
      </c>
      <c r="D846" s="11" t="s">
        <v>2422</v>
      </c>
      <c r="E846" s="11">
        <v>2110.38</v>
      </c>
      <c r="F846" s="11" t="s">
        <v>0</v>
      </c>
      <c r="G846" s="11" t="s">
        <v>2072</v>
      </c>
      <c r="H846" s="9" t="s">
        <v>306</v>
      </c>
      <c r="I846" s="9" t="s">
        <v>307</v>
      </c>
      <c r="J846" s="9" t="s">
        <v>2073</v>
      </c>
    </row>
    <row r="847" spans="1:10">
      <c r="A847" s="8">
        <v>58496</v>
      </c>
      <c r="B847" s="10" t="s">
        <v>2062</v>
      </c>
      <c r="C847" s="11" t="s">
        <v>1159</v>
      </c>
      <c r="D847" s="11" t="s">
        <v>2498</v>
      </c>
      <c r="E847" s="11">
        <v>878.5</v>
      </c>
      <c r="F847" s="11" t="s">
        <v>113</v>
      </c>
      <c r="G847" s="11" t="s">
        <v>2072</v>
      </c>
      <c r="H847" s="9" t="s">
        <v>135</v>
      </c>
      <c r="I847" s="9" t="s">
        <v>84</v>
      </c>
      <c r="J847" s="9" t="s">
        <v>2104</v>
      </c>
    </row>
    <row r="848" spans="1:10">
      <c r="A848" s="8">
        <v>61379</v>
      </c>
      <c r="B848" s="10" t="s">
        <v>2063</v>
      </c>
      <c r="C848" s="11" t="s">
        <v>1160</v>
      </c>
      <c r="D848" s="11" t="s">
        <v>2557</v>
      </c>
      <c r="E848" s="11">
        <v>737.88</v>
      </c>
      <c r="F848" s="11" t="s">
        <v>122</v>
      </c>
      <c r="G848" s="11" t="s">
        <v>2072</v>
      </c>
      <c r="H848" s="9" t="s">
        <v>115</v>
      </c>
      <c r="I848" s="9" t="s">
        <v>116</v>
      </c>
      <c r="J848" s="9" t="s">
        <v>2073</v>
      </c>
    </row>
    <row r="849" spans="1:10">
      <c r="A849" s="8">
        <v>66141</v>
      </c>
      <c r="B849" s="10" t="s">
        <v>2064</v>
      </c>
      <c r="C849" s="11" t="s">
        <v>1323</v>
      </c>
      <c r="D849" s="11" t="s">
        <v>2841</v>
      </c>
      <c r="E849" s="11">
        <v>737.88</v>
      </c>
      <c r="F849" s="11" t="s">
        <v>122</v>
      </c>
      <c r="G849" s="11" t="s">
        <v>2072</v>
      </c>
      <c r="H849" s="9" t="s">
        <v>115</v>
      </c>
      <c r="I849" s="9" t="s">
        <v>116</v>
      </c>
      <c r="J849" s="9" t="s">
        <v>2073</v>
      </c>
    </row>
    <row r="850" spans="1:10">
      <c r="A850" s="8">
        <v>57736</v>
      </c>
      <c r="B850" s="10" t="s">
        <v>2065</v>
      </c>
      <c r="C850" s="11" t="s">
        <v>1161</v>
      </c>
      <c r="D850" s="11" t="s">
        <v>2749</v>
      </c>
      <c r="E850" s="11">
        <v>737.88</v>
      </c>
      <c r="F850" s="11" t="s">
        <v>258</v>
      </c>
      <c r="G850" s="11" t="s">
        <v>2072</v>
      </c>
      <c r="H850" s="9" t="s">
        <v>774</v>
      </c>
      <c r="I850" s="9" t="s">
        <v>775</v>
      </c>
      <c r="J850" s="9" t="s">
        <v>2073</v>
      </c>
    </row>
    <row r="851" spans="1:10">
      <c r="A851" s="8">
        <v>10732</v>
      </c>
      <c r="B851" s="10" t="s">
        <v>2066</v>
      </c>
      <c r="C851" s="11" t="s">
        <v>1162</v>
      </c>
      <c r="D851" s="11" t="s">
        <v>2486</v>
      </c>
      <c r="E851" s="11">
        <v>1228.51</v>
      </c>
      <c r="F851" s="11" t="s">
        <v>139</v>
      </c>
      <c r="G851" s="11" t="s">
        <v>2072</v>
      </c>
      <c r="H851" s="9" t="s">
        <v>115</v>
      </c>
      <c r="I851" s="9" t="s">
        <v>116</v>
      </c>
      <c r="J851" s="9" t="s">
        <v>2073</v>
      </c>
    </row>
    <row r="852" spans="1:10">
      <c r="A852" s="8">
        <v>59514</v>
      </c>
      <c r="B852" s="10" t="s">
        <v>2067</v>
      </c>
      <c r="C852" s="11" t="s">
        <v>1163</v>
      </c>
      <c r="D852" s="11" t="s">
        <v>2773</v>
      </c>
      <c r="E852" s="11">
        <v>955.14</v>
      </c>
      <c r="F852" s="11" t="s">
        <v>113</v>
      </c>
      <c r="G852" s="11" t="s">
        <v>2072</v>
      </c>
      <c r="H852" s="9" t="s">
        <v>396</v>
      </c>
      <c r="I852" s="9" t="s">
        <v>397</v>
      </c>
      <c r="J852" s="9" t="s">
        <v>2165</v>
      </c>
    </row>
    <row r="853" spans="1:10">
      <c r="A853" s="8">
        <v>29802</v>
      </c>
      <c r="B853" s="10" t="s">
        <v>2068</v>
      </c>
      <c r="C853" s="11" t="s">
        <v>1164</v>
      </c>
      <c r="D853" s="11" t="s">
        <v>2547</v>
      </c>
      <c r="E853" s="11">
        <v>1648.29</v>
      </c>
      <c r="F853" s="11" t="s">
        <v>458</v>
      </c>
      <c r="G853" s="11" t="s">
        <v>2072</v>
      </c>
      <c r="H853" s="9" t="s">
        <v>212</v>
      </c>
      <c r="I853" s="9" t="s">
        <v>213</v>
      </c>
      <c r="J853" s="9" t="s">
        <v>2073</v>
      </c>
    </row>
    <row r="854" spans="1:10">
      <c r="A854" s="8">
        <v>56041</v>
      </c>
      <c r="B854" s="10" t="s">
        <v>1515</v>
      </c>
      <c r="C854" s="11" t="s">
        <v>50</v>
      </c>
      <c r="D854" s="11" t="s">
        <v>2413</v>
      </c>
      <c r="E854" s="11">
        <v>2110.38</v>
      </c>
      <c r="F854" s="11" t="s">
        <v>0</v>
      </c>
      <c r="G854" s="11" t="s">
        <v>2072</v>
      </c>
      <c r="H854" s="9" t="s">
        <v>306</v>
      </c>
      <c r="I854" s="9" t="s">
        <v>307</v>
      </c>
      <c r="J854" s="9" t="s">
        <v>2073</v>
      </c>
    </row>
    <row r="855" spans="1:10">
      <c r="A855" s="8">
        <v>56816</v>
      </c>
      <c r="B855" s="10" t="s">
        <v>1165</v>
      </c>
      <c r="C855" s="11" t="s">
        <v>1166</v>
      </c>
      <c r="D855" s="11" t="s">
        <v>2447</v>
      </c>
      <c r="E855" s="11">
        <v>714.24</v>
      </c>
      <c r="F855" s="11" t="s">
        <v>122</v>
      </c>
      <c r="G855" s="11" t="s">
        <v>2085</v>
      </c>
      <c r="H855" s="9" t="s">
        <v>161</v>
      </c>
      <c r="I855" s="9" t="s">
        <v>162</v>
      </c>
      <c r="J855" s="9" t="s">
        <v>2156</v>
      </c>
    </row>
    <row r="856" spans="1:10">
      <c r="A856" s="9">
        <v>20003</v>
      </c>
      <c r="B856" s="9" t="s">
        <v>1355</v>
      </c>
      <c r="C856" s="9" t="s">
        <v>1167</v>
      </c>
      <c r="D856" s="9" t="s">
        <v>2508</v>
      </c>
      <c r="E856" s="9">
        <v>955.15</v>
      </c>
      <c r="F856" s="9" t="s">
        <v>113</v>
      </c>
      <c r="G856" s="9" t="s">
        <v>2072</v>
      </c>
      <c r="H856" s="9" t="s">
        <v>142</v>
      </c>
      <c r="I856" s="9" t="s">
        <v>143</v>
      </c>
      <c r="J856" s="9" t="s">
        <v>2073</v>
      </c>
    </row>
    <row r="857" spans="1:10">
      <c r="A857" s="9">
        <v>16416</v>
      </c>
      <c r="B857" s="9" t="s">
        <v>1356</v>
      </c>
      <c r="C857" s="9" t="s">
        <v>1168</v>
      </c>
      <c r="D857" s="9" t="s">
        <v>2500</v>
      </c>
      <c r="E857" s="9">
        <v>1520.04</v>
      </c>
      <c r="F857" s="9" t="s">
        <v>155</v>
      </c>
      <c r="G857" s="9" t="s">
        <v>2072</v>
      </c>
      <c r="H857" s="9" t="s">
        <v>164</v>
      </c>
      <c r="I857" s="9" t="s">
        <v>165</v>
      </c>
      <c r="J857" s="9" t="s">
        <v>2073</v>
      </c>
    </row>
    <row r="858" spans="1:10">
      <c r="A858" s="9">
        <v>51063</v>
      </c>
      <c r="B858" s="9" t="s">
        <v>1357</v>
      </c>
      <c r="C858" s="9" t="s">
        <v>1169</v>
      </c>
      <c r="D858" s="9" t="s">
        <v>2663</v>
      </c>
      <c r="E858" s="9">
        <v>737.88</v>
      </c>
      <c r="F858" s="9" t="s">
        <v>111</v>
      </c>
      <c r="G858" s="9" t="s">
        <v>2072</v>
      </c>
      <c r="H858" s="9" t="s">
        <v>248</v>
      </c>
      <c r="I858" s="9" t="s">
        <v>249</v>
      </c>
      <c r="J858" s="9" t="s">
        <v>2073</v>
      </c>
    </row>
    <row r="859" spans="1:10">
      <c r="A859" s="9">
        <v>68747</v>
      </c>
      <c r="B859" s="9" t="s">
        <v>2359</v>
      </c>
      <c r="C859" s="9" t="s">
        <v>2360</v>
      </c>
      <c r="D859" s="9" t="s">
        <v>2877</v>
      </c>
      <c r="E859" s="9">
        <v>357.13</v>
      </c>
      <c r="F859" s="9" t="s">
        <v>129</v>
      </c>
      <c r="G859" s="9" t="s">
        <v>2072</v>
      </c>
      <c r="H859" s="9" t="s">
        <v>1138</v>
      </c>
      <c r="I859" s="9" t="s">
        <v>1139</v>
      </c>
      <c r="J859" s="9" t="s">
        <v>2173</v>
      </c>
    </row>
    <row r="860" spans="1:10">
      <c r="A860" s="9">
        <v>56696</v>
      </c>
      <c r="B860" s="9" t="s">
        <v>1358</v>
      </c>
      <c r="C860" s="9" t="s">
        <v>1170</v>
      </c>
      <c r="D860" s="9" t="s">
        <v>2739</v>
      </c>
      <c r="E860" s="9">
        <v>878.5</v>
      </c>
      <c r="F860" s="9" t="s">
        <v>113</v>
      </c>
      <c r="G860" s="9" t="s">
        <v>2072</v>
      </c>
      <c r="H860" s="9" t="s">
        <v>230</v>
      </c>
      <c r="I860" s="9" t="s">
        <v>82</v>
      </c>
      <c r="J860" s="9" t="s">
        <v>2137</v>
      </c>
    </row>
    <row r="861" spans="1:10">
      <c r="A861" s="9">
        <v>70096</v>
      </c>
      <c r="B861" s="9">
        <v>85269</v>
      </c>
      <c r="C861" s="9" t="s">
        <v>1256</v>
      </c>
      <c r="I861" s="9" t="s">
        <v>442</v>
      </c>
      <c r="J861" s="9" t="s">
        <v>2088</v>
      </c>
    </row>
    <row r="862" spans="1:10">
      <c r="A862" s="9">
        <v>70122</v>
      </c>
      <c r="B862" s="9">
        <v>85272</v>
      </c>
      <c r="C862" s="9" t="s">
        <v>2992</v>
      </c>
      <c r="I862" s="9" t="s">
        <v>457</v>
      </c>
      <c r="J862" s="9" t="s">
        <v>2079</v>
      </c>
    </row>
    <row r="863" spans="1:10">
      <c r="A863" s="9">
        <v>70188</v>
      </c>
      <c r="B863" s="9">
        <v>85255</v>
      </c>
      <c r="C863" s="9" t="s">
        <v>2995</v>
      </c>
      <c r="I863" s="9" t="s">
        <v>1061</v>
      </c>
      <c r="J863" s="9" t="s">
        <v>2139</v>
      </c>
    </row>
    <row r="864" spans="1:10">
      <c r="A864" s="9">
        <v>70281</v>
      </c>
      <c r="B864" s="9" t="s">
        <v>3001</v>
      </c>
      <c r="C864" s="9" t="s">
        <v>3002</v>
      </c>
      <c r="I864" s="9" t="s">
        <v>1519</v>
      </c>
      <c r="J864" s="9" t="s">
        <v>2150</v>
      </c>
    </row>
    <row r="865" spans="1:10">
      <c r="A865" s="9">
        <v>71515</v>
      </c>
      <c r="B865" s="9" t="s">
        <v>3022</v>
      </c>
      <c r="C865" s="9" t="s">
        <v>1052</v>
      </c>
      <c r="I865" s="9" t="s">
        <v>3000</v>
      </c>
      <c r="J865" s="9" t="s">
        <v>2073</v>
      </c>
    </row>
    <row r="866" spans="1:10">
      <c r="A866" s="9">
        <v>72392</v>
      </c>
      <c r="B866" s="9">
        <v>86944</v>
      </c>
      <c r="C866" s="9" t="s">
        <v>3032</v>
      </c>
      <c r="I866" s="9" t="s">
        <v>1381</v>
      </c>
      <c r="J866" s="9" t="s">
        <v>2073</v>
      </c>
    </row>
    <row r="867" spans="1:10">
      <c r="A867" s="9">
        <v>72495</v>
      </c>
      <c r="B867" s="9">
        <v>87033</v>
      </c>
      <c r="C867" s="9" t="s">
        <v>1283</v>
      </c>
      <c r="I867" s="9" t="s">
        <v>1447</v>
      </c>
      <c r="J867" s="9" t="s">
        <v>2142</v>
      </c>
    </row>
    <row r="868" spans="1:10">
      <c r="A868" s="9">
        <v>74984</v>
      </c>
      <c r="B868" s="9" t="s">
        <v>3068</v>
      </c>
      <c r="C868" s="9" t="s">
        <v>3069</v>
      </c>
      <c r="I868" s="9" t="s">
        <v>1480</v>
      </c>
      <c r="J868" s="9" t="s">
        <v>2102</v>
      </c>
    </row>
    <row r="869" spans="1:10">
      <c r="A869" s="9">
        <v>75599</v>
      </c>
      <c r="B869" s="9">
        <v>89382</v>
      </c>
      <c r="C869" s="9" t="s">
        <v>1006</v>
      </c>
      <c r="I869" s="9" t="s">
        <v>1462</v>
      </c>
      <c r="J869" s="9" t="s">
        <v>2082</v>
      </c>
    </row>
    <row r="870" spans="1:10">
      <c r="A870" s="9">
        <v>75630</v>
      </c>
      <c r="B870" s="9">
        <v>89409</v>
      </c>
      <c r="C870" s="9" t="s">
        <v>3090</v>
      </c>
      <c r="I870" s="9" t="s">
        <v>1440</v>
      </c>
      <c r="J870" s="9" t="s">
        <v>2084</v>
      </c>
    </row>
    <row r="871" spans="1:10">
      <c r="A871" s="9">
        <v>75571</v>
      </c>
      <c r="B871" s="9">
        <v>89354</v>
      </c>
      <c r="C871" s="9" t="s">
        <v>3094</v>
      </c>
      <c r="I871" s="9" t="s">
        <v>2984</v>
      </c>
      <c r="J871" s="9" t="s">
        <v>2098</v>
      </c>
    </row>
  </sheetData>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5"/>
  <sheetViews>
    <sheetView topLeftCell="N1" workbookViewId="0">
      <selection activeCell="AD2" sqref="AD2"/>
    </sheetView>
  </sheetViews>
  <sheetFormatPr defaultRowHeight="12.75"/>
  <cols>
    <col min="2" max="2" width="13.42578125" customWidth="1"/>
    <col min="3" max="3" width="20" customWidth="1"/>
    <col min="4" max="4" width="33.85546875" customWidth="1"/>
    <col min="5" max="5" width="19.7109375" customWidth="1"/>
    <col min="6" max="6" width="17.5703125" customWidth="1"/>
    <col min="7" max="7" width="16" customWidth="1"/>
  </cols>
  <sheetData>
    <row r="1" spans="1:28" s="454" customFormat="1" ht="89.25">
      <c r="A1" s="453" t="s">
        <v>3533</v>
      </c>
      <c r="B1" s="453" t="s">
        <v>3434</v>
      </c>
      <c r="C1" s="453" t="s">
        <v>3292</v>
      </c>
      <c r="D1" s="453" t="s">
        <v>3868</v>
      </c>
      <c r="E1" s="453" t="s">
        <v>3869</v>
      </c>
      <c r="F1" s="453" t="s">
        <v>3870</v>
      </c>
      <c r="G1" s="453" t="s">
        <v>3871</v>
      </c>
      <c r="H1" s="453" t="s">
        <v>3851</v>
      </c>
      <c r="I1" s="453" t="s">
        <v>3852</v>
      </c>
      <c r="J1" s="453" t="s">
        <v>3853</v>
      </c>
      <c r="K1" s="453" t="s">
        <v>3854</v>
      </c>
      <c r="L1" s="453" t="s">
        <v>3855</v>
      </c>
      <c r="M1" s="453" t="s">
        <v>3856</v>
      </c>
      <c r="N1" s="453" t="s">
        <v>3857</v>
      </c>
      <c r="O1" s="453" t="s">
        <v>3858</v>
      </c>
      <c r="P1" s="453" t="s">
        <v>3872</v>
      </c>
      <c r="Q1" s="453" t="s">
        <v>3873</v>
      </c>
      <c r="R1" s="453" t="s">
        <v>3859</v>
      </c>
      <c r="S1" s="453" t="s">
        <v>3153</v>
      </c>
      <c r="T1" s="453" t="s">
        <v>3154</v>
      </c>
      <c r="U1" s="453" t="s">
        <v>3156</v>
      </c>
      <c r="V1" s="453" t="s">
        <v>3155</v>
      </c>
      <c r="W1" s="453" t="s">
        <v>3860</v>
      </c>
      <c r="X1" s="453" t="s">
        <v>3861</v>
      </c>
      <c r="Y1" s="453" t="s">
        <v>3862</v>
      </c>
      <c r="Z1" s="453" t="s">
        <v>3863</v>
      </c>
      <c r="AA1" s="453" t="s">
        <v>3864</v>
      </c>
      <c r="AB1" s="453" t="s">
        <v>3865</v>
      </c>
    </row>
    <row r="2" spans="1:28">
      <c r="A2" s="452">
        <v>1</v>
      </c>
      <c r="B2" s="452" t="s">
        <v>3866</v>
      </c>
      <c r="C2" s="435" t="s">
        <v>3867</v>
      </c>
      <c r="D2" s="435" t="s">
        <v>3849</v>
      </c>
      <c r="E2" s="452" t="str">
        <f>CONCATENATE(C2,D2)</f>
        <v>AracuaiVIGILANTE ARMADO - 220 H</v>
      </c>
      <c r="F2" s="452">
        <v>1</v>
      </c>
      <c r="G2" s="310">
        <v>1602.86</v>
      </c>
      <c r="H2" s="455"/>
      <c r="I2" s="455">
        <f>30%*G2</f>
        <v>480.85799999999995</v>
      </c>
      <c r="J2" s="310">
        <f>IF(D2="VIGILANTE ARMADO - 12X36 NOTURNO",((G2+I2)/220*40%*7*15.5),0)</f>
        <v>0</v>
      </c>
      <c r="K2" s="452"/>
      <c r="L2" s="452"/>
      <c r="M2" s="310">
        <f>IF(D2="VIGILANTE ARMADO - 220 H",(G2+I2)/220*20,(G2+I2+J2)/220*15.5)</f>
        <v>189.42890909090909</v>
      </c>
      <c r="N2" s="455">
        <f>IF(D2="VIGILANTE ARMADO - 220 H",(G2+I2)/220*8.8*2/12,(G2+I2)/220*12*5/12)</f>
        <v>13.891453333333336</v>
      </c>
      <c r="O2" s="207">
        <v>112.9</v>
      </c>
      <c r="P2" s="310">
        <v>15.99</v>
      </c>
      <c r="Q2" s="452"/>
      <c r="R2" s="452">
        <v>91.08</v>
      </c>
      <c r="S2" s="452">
        <v>17.03</v>
      </c>
      <c r="T2" s="452"/>
      <c r="U2" s="452"/>
      <c r="V2" s="452"/>
      <c r="W2" s="452"/>
      <c r="X2" s="310">
        <v>62.37</v>
      </c>
      <c r="Y2" s="452"/>
      <c r="Z2" s="310">
        <v>58.53</v>
      </c>
      <c r="AA2" s="452"/>
      <c r="AB2" s="452"/>
    </row>
    <row r="3" spans="1:28">
      <c r="A3" s="452">
        <v>1</v>
      </c>
      <c r="B3" s="452" t="s">
        <v>3866</v>
      </c>
      <c r="C3" s="435" t="s">
        <v>3832</v>
      </c>
      <c r="D3" s="435" t="s">
        <v>3849</v>
      </c>
      <c r="E3" s="452" t="str">
        <f t="shared" ref="E3:E45" si="0">CONCATENATE(C3,D3)</f>
        <v>AraguariVIGILANTE ARMADO - 220 H</v>
      </c>
      <c r="F3" s="452">
        <v>1</v>
      </c>
      <c r="G3" s="310">
        <v>1602.86</v>
      </c>
      <c r="H3" s="452"/>
      <c r="I3" s="455">
        <f t="shared" ref="I3:I45" si="1">30%*G3</f>
        <v>480.85799999999995</v>
      </c>
      <c r="J3" s="310">
        <f t="shared" ref="J3:J45" si="2">IF(D3="VIGILANTE ARMADO - 12X36 NOTURNO",((G3+I3)/220*40%*7*15.5),0)</f>
        <v>0</v>
      </c>
      <c r="K3" s="452"/>
      <c r="L3" s="452"/>
      <c r="M3" s="310">
        <f t="shared" ref="M3:M45" si="3">IF(D3="VIGILANTE ARMADO - 220 H",(G3+I3)/220*20,(G3+I3+J3)/220*15.5)</f>
        <v>189.42890909090909</v>
      </c>
      <c r="N3" s="455">
        <f t="shared" ref="N3:N45" si="4">IF(D3="VIGILANTE ARMADO - 220 H",(G3+I3)/220*8.8*2/12,(G3+I3)/220*12*5/12)</f>
        <v>13.891453333333336</v>
      </c>
      <c r="O3" s="207">
        <v>112.9</v>
      </c>
      <c r="P3" s="310">
        <v>15.99</v>
      </c>
      <c r="Q3" s="452"/>
      <c r="R3" s="452">
        <v>91.08</v>
      </c>
      <c r="S3" s="452">
        <v>17.03</v>
      </c>
      <c r="T3" s="452"/>
      <c r="U3" s="452"/>
      <c r="V3" s="452"/>
      <c r="W3" s="452"/>
      <c r="X3" s="310">
        <v>62.37</v>
      </c>
      <c r="Y3" s="452"/>
      <c r="Z3" s="310">
        <v>58.53</v>
      </c>
      <c r="AA3" s="452"/>
      <c r="AB3" s="452"/>
    </row>
    <row r="4" spans="1:28">
      <c r="A4" s="452">
        <v>1</v>
      </c>
      <c r="B4" s="452" t="s">
        <v>3866</v>
      </c>
      <c r="C4" s="435" t="s">
        <v>3244</v>
      </c>
      <c r="D4" s="435" t="s">
        <v>3849</v>
      </c>
      <c r="E4" s="452" t="str">
        <f t="shared" si="0"/>
        <v>BarbacenaVIGILANTE ARMADO - 220 H</v>
      </c>
      <c r="F4" s="452">
        <v>1</v>
      </c>
      <c r="G4" s="310">
        <v>1602.86</v>
      </c>
      <c r="H4" s="452"/>
      <c r="I4" s="455">
        <f t="shared" si="1"/>
        <v>480.85799999999995</v>
      </c>
      <c r="J4" s="310">
        <f t="shared" si="2"/>
        <v>0</v>
      </c>
      <c r="K4" s="452"/>
      <c r="L4" s="452"/>
      <c r="M4" s="310">
        <f t="shared" si="3"/>
        <v>189.42890909090909</v>
      </c>
      <c r="N4" s="455">
        <f t="shared" si="4"/>
        <v>13.891453333333336</v>
      </c>
      <c r="O4" s="207">
        <v>112.9</v>
      </c>
      <c r="P4" s="310">
        <v>15.99</v>
      </c>
      <c r="Q4" s="452"/>
      <c r="R4" s="452">
        <v>91.08</v>
      </c>
      <c r="S4" s="452">
        <v>17.03</v>
      </c>
      <c r="T4" s="452"/>
      <c r="U4" s="452"/>
      <c r="V4" s="452"/>
      <c r="W4" s="452"/>
      <c r="X4" s="310">
        <v>62.37</v>
      </c>
      <c r="Y4" s="452"/>
      <c r="Z4" s="310">
        <v>58.53</v>
      </c>
      <c r="AA4" s="452"/>
      <c r="AB4" s="452"/>
    </row>
    <row r="5" spans="1:28">
      <c r="A5" s="452">
        <v>1</v>
      </c>
      <c r="B5" s="452" t="s">
        <v>3866</v>
      </c>
      <c r="C5" s="435" t="s">
        <v>3287</v>
      </c>
      <c r="D5" s="435" t="s">
        <v>3849</v>
      </c>
      <c r="E5" s="452" t="str">
        <f t="shared" si="0"/>
        <v>Belo HorizonteVIGILANTE ARMADO - 220 H</v>
      </c>
      <c r="F5" s="452">
        <v>4</v>
      </c>
      <c r="G5" s="310">
        <v>1602.86</v>
      </c>
      <c r="H5" s="452"/>
      <c r="I5" s="455">
        <f t="shared" si="1"/>
        <v>480.85799999999995</v>
      </c>
      <c r="J5" s="310">
        <f t="shared" si="2"/>
        <v>0</v>
      </c>
      <c r="K5" s="452"/>
      <c r="L5" s="452"/>
      <c r="M5" s="310">
        <f t="shared" si="3"/>
        <v>189.42890909090909</v>
      </c>
      <c r="N5" s="455">
        <f t="shared" si="4"/>
        <v>13.891453333333336</v>
      </c>
      <c r="O5" s="207">
        <v>112.9</v>
      </c>
      <c r="P5" s="310">
        <v>15.99</v>
      </c>
      <c r="Q5" s="452"/>
      <c r="R5" s="452">
        <v>91.08</v>
      </c>
      <c r="S5" s="452">
        <v>17.03</v>
      </c>
      <c r="T5" s="452"/>
      <c r="U5" s="452"/>
      <c r="V5" s="452"/>
      <c r="W5" s="452"/>
      <c r="X5" s="310">
        <v>62.37</v>
      </c>
      <c r="Y5" s="452"/>
      <c r="Z5" s="310">
        <v>58.53</v>
      </c>
      <c r="AA5" s="452"/>
      <c r="AB5" s="452"/>
    </row>
    <row r="6" spans="1:28">
      <c r="A6" s="452">
        <v>1</v>
      </c>
      <c r="B6" s="452" t="s">
        <v>3866</v>
      </c>
      <c r="C6" s="435" t="s">
        <v>3287</v>
      </c>
      <c r="D6" s="435" t="s">
        <v>3848</v>
      </c>
      <c r="E6" s="452" t="str">
        <f t="shared" si="0"/>
        <v>Belo HorizonteVIGILANTE ARMADO - 12X36 DIURNO</v>
      </c>
      <c r="F6" s="452">
        <v>18</v>
      </c>
      <c r="G6" s="310">
        <v>1602.86</v>
      </c>
      <c r="H6" s="452"/>
      <c r="I6" s="455">
        <f t="shared" si="1"/>
        <v>480.85799999999995</v>
      </c>
      <c r="J6" s="310">
        <f t="shared" si="2"/>
        <v>0</v>
      </c>
      <c r="K6" s="452"/>
      <c r="L6" s="452"/>
      <c r="M6" s="310">
        <f t="shared" si="3"/>
        <v>146.80740454545455</v>
      </c>
      <c r="N6" s="455">
        <f t="shared" si="4"/>
        <v>47.357227272727279</v>
      </c>
      <c r="O6" s="207">
        <v>112.9</v>
      </c>
      <c r="P6" s="310">
        <v>15.99</v>
      </c>
      <c r="Q6" s="452"/>
      <c r="R6" s="452">
        <v>91.08</v>
      </c>
      <c r="S6" s="452">
        <v>17.03</v>
      </c>
      <c r="T6" s="452"/>
      <c r="U6" s="452"/>
      <c r="V6" s="452"/>
      <c r="W6" s="452"/>
      <c r="X6" s="310">
        <v>62.37</v>
      </c>
      <c r="Y6" s="452"/>
      <c r="Z6" s="310">
        <v>58.53</v>
      </c>
      <c r="AA6" s="452"/>
      <c r="AB6" s="452"/>
    </row>
    <row r="7" spans="1:28">
      <c r="A7" s="452">
        <v>1</v>
      </c>
      <c r="B7" s="452" t="s">
        <v>3866</v>
      </c>
      <c r="C7" s="435" t="s">
        <v>3287</v>
      </c>
      <c r="D7" s="435" t="s">
        <v>3850</v>
      </c>
      <c r="E7" s="452" t="str">
        <f t="shared" si="0"/>
        <v>Belo HorizonteVIGILANTE ARMADO - 12X36 NOTURNO</v>
      </c>
      <c r="F7" s="452">
        <v>16</v>
      </c>
      <c r="G7" s="310">
        <v>1602.86</v>
      </c>
      <c r="H7" s="452"/>
      <c r="I7" s="455">
        <f t="shared" si="1"/>
        <v>480.85799999999995</v>
      </c>
      <c r="J7" s="310">
        <f t="shared" si="2"/>
        <v>411.06073272727275</v>
      </c>
      <c r="K7" s="452"/>
      <c r="L7" s="452"/>
      <c r="M7" s="310">
        <f t="shared" si="3"/>
        <v>175.76850162396693</v>
      </c>
      <c r="N7" s="455">
        <f t="shared" si="4"/>
        <v>47.357227272727279</v>
      </c>
      <c r="O7" s="207">
        <v>112.9</v>
      </c>
      <c r="P7" s="310">
        <v>15.99</v>
      </c>
      <c r="Q7" s="452"/>
      <c r="R7" s="452">
        <v>91.08</v>
      </c>
      <c r="S7" s="452">
        <v>17.03</v>
      </c>
      <c r="T7" s="452"/>
      <c r="U7" s="452"/>
      <c r="V7" s="452"/>
      <c r="W7" s="452"/>
      <c r="X7" s="310">
        <v>62.37</v>
      </c>
      <c r="Y7" s="452"/>
      <c r="Z7" s="310">
        <v>58.53</v>
      </c>
      <c r="AA7" s="452"/>
      <c r="AB7" s="452"/>
    </row>
    <row r="8" spans="1:28">
      <c r="A8" s="452">
        <v>1</v>
      </c>
      <c r="B8" s="452" t="s">
        <v>3866</v>
      </c>
      <c r="C8" s="435" t="s">
        <v>3246</v>
      </c>
      <c r="D8" s="435" t="s">
        <v>3848</v>
      </c>
      <c r="E8" s="452" t="str">
        <f t="shared" si="0"/>
        <v>BetimVIGILANTE ARMADO - 12X36 DIURNO</v>
      </c>
      <c r="F8" s="452">
        <v>2</v>
      </c>
      <c r="G8" s="310">
        <v>1602.86</v>
      </c>
      <c r="H8" s="452"/>
      <c r="I8" s="455">
        <f t="shared" si="1"/>
        <v>480.85799999999995</v>
      </c>
      <c r="J8" s="310">
        <f t="shared" si="2"/>
        <v>0</v>
      </c>
      <c r="K8" s="452"/>
      <c r="L8" s="452"/>
      <c r="M8" s="310">
        <f t="shared" si="3"/>
        <v>146.80740454545455</v>
      </c>
      <c r="N8" s="455">
        <f t="shared" si="4"/>
        <v>47.357227272727279</v>
      </c>
      <c r="O8" s="207">
        <v>112.9</v>
      </c>
      <c r="P8" s="310">
        <v>15.99</v>
      </c>
      <c r="Q8" s="452"/>
      <c r="R8" s="452">
        <v>91.08</v>
      </c>
      <c r="S8" s="452">
        <v>17.03</v>
      </c>
      <c r="T8" s="452"/>
      <c r="U8" s="452"/>
      <c r="V8" s="452"/>
      <c r="W8" s="452"/>
      <c r="X8" s="310">
        <v>62.37</v>
      </c>
      <c r="Y8" s="452"/>
      <c r="Z8" s="310">
        <v>58.53</v>
      </c>
      <c r="AA8" s="452"/>
      <c r="AB8" s="452"/>
    </row>
    <row r="9" spans="1:28">
      <c r="A9" s="452">
        <v>1</v>
      </c>
      <c r="B9" s="452" t="s">
        <v>3866</v>
      </c>
      <c r="C9" s="435" t="s">
        <v>3833</v>
      </c>
      <c r="D9" s="435" t="s">
        <v>3849</v>
      </c>
      <c r="E9" s="452" t="str">
        <f t="shared" si="0"/>
        <v>CaetéVIGILANTE ARMADO - 220 H</v>
      </c>
      <c r="F9" s="452">
        <v>1</v>
      </c>
      <c r="G9" s="310">
        <v>1602.86</v>
      </c>
      <c r="H9" s="452"/>
      <c r="I9" s="455">
        <f t="shared" si="1"/>
        <v>480.85799999999995</v>
      </c>
      <c r="J9" s="310">
        <f t="shared" si="2"/>
        <v>0</v>
      </c>
      <c r="K9" s="452"/>
      <c r="L9" s="452"/>
      <c r="M9" s="310">
        <f t="shared" si="3"/>
        <v>189.42890909090909</v>
      </c>
      <c r="N9" s="455">
        <f t="shared" si="4"/>
        <v>13.891453333333336</v>
      </c>
      <c r="O9" s="207">
        <v>112.9</v>
      </c>
      <c r="P9" s="310">
        <v>15.99</v>
      </c>
      <c r="Q9" s="452"/>
      <c r="R9" s="452">
        <v>91.08</v>
      </c>
      <c r="S9" s="452">
        <v>17.03</v>
      </c>
      <c r="T9" s="452"/>
      <c r="U9" s="452"/>
      <c r="V9" s="452"/>
      <c r="W9" s="452"/>
      <c r="X9" s="310">
        <v>62.37</v>
      </c>
      <c r="Y9" s="452"/>
      <c r="Z9" s="310">
        <v>58.53</v>
      </c>
      <c r="AA9" s="452"/>
      <c r="AB9" s="452"/>
    </row>
    <row r="10" spans="1:28">
      <c r="A10" s="452">
        <v>1</v>
      </c>
      <c r="B10" s="452" t="s">
        <v>3866</v>
      </c>
      <c r="C10" s="435" t="s">
        <v>3834</v>
      </c>
      <c r="D10" s="435" t="s">
        <v>3849</v>
      </c>
      <c r="E10" s="452" t="str">
        <f t="shared" si="0"/>
        <v>Campo BeloVIGILANTE ARMADO - 220 H</v>
      </c>
      <c r="F10" s="452">
        <v>1</v>
      </c>
      <c r="G10" s="310">
        <v>1602.86</v>
      </c>
      <c r="H10" s="452"/>
      <c r="I10" s="455">
        <f t="shared" si="1"/>
        <v>480.85799999999995</v>
      </c>
      <c r="J10" s="310">
        <f t="shared" si="2"/>
        <v>0</v>
      </c>
      <c r="K10" s="452"/>
      <c r="L10" s="452"/>
      <c r="M10" s="310">
        <f t="shared" si="3"/>
        <v>189.42890909090909</v>
      </c>
      <c r="N10" s="455">
        <f t="shared" si="4"/>
        <v>13.891453333333336</v>
      </c>
      <c r="O10" s="207">
        <v>112.9</v>
      </c>
      <c r="P10" s="310">
        <v>15.99</v>
      </c>
      <c r="Q10" s="452"/>
      <c r="R10" s="452">
        <v>91.08</v>
      </c>
      <c r="S10" s="452">
        <v>17.03</v>
      </c>
      <c r="T10" s="452"/>
      <c r="U10" s="452"/>
      <c r="V10" s="452"/>
      <c r="W10" s="452"/>
      <c r="X10" s="310">
        <v>62.37</v>
      </c>
      <c r="Y10" s="452"/>
      <c r="Z10" s="310">
        <v>58.53</v>
      </c>
      <c r="AA10" s="452"/>
      <c r="AB10" s="452"/>
    </row>
    <row r="11" spans="1:28">
      <c r="A11" s="452">
        <v>1</v>
      </c>
      <c r="B11" s="452" t="s">
        <v>3866</v>
      </c>
      <c r="C11" s="435" t="s">
        <v>3250</v>
      </c>
      <c r="D11" s="435" t="s">
        <v>3848</v>
      </c>
      <c r="E11" s="452" t="str">
        <f t="shared" si="0"/>
        <v>Conselheiro LafaieteVIGILANTE ARMADO - 12X36 DIURNO</v>
      </c>
      <c r="F11" s="452">
        <v>2</v>
      </c>
      <c r="G11" s="310">
        <v>1602.86</v>
      </c>
      <c r="H11" s="452"/>
      <c r="I11" s="455">
        <f t="shared" si="1"/>
        <v>480.85799999999995</v>
      </c>
      <c r="J11" s="310">
        <f t="shared" si="2"/>
        <v>0</v>
      </c>
      <c r="K11" s="452"/>
      <c r="L11" s="452"/>
      <c r="M11" s="310">
        <f t="shared" si="3"/>
        <v>146.80740454545455</v>
      </c>
      <c r="N11" s="455">
        <f t="shared" si="4"/>
        <v>47.357227272727279</v>
      </c>
      <c r="O11" s="207">
        <v>112.9</v>
      </c>
      <c r="P11" s="310">
        <v>15.99</v>
      </c>
      <c r="Q11" s="452"/>
      <c r="R11" s="452">
        <v>91.08</v>
      </c>
      <c r="S11" s="452">
        <v>17.03</v>
      </c>
      <c r="T11" s="452"/>
      <c r="U11" s="452"/>
      <c r="V11" s="452"/>
      <c r="W11" s="452"/>
      <c r="X11" s="310">
        <v>62.37</v>
      </c>
      <c r="Y11" s="452"/>
      <c r="Z11" s="310">
        <v>58.53</v>
      </c>
      <c r="AA11" s="452"/>
      <c r="AB11" s="452"/>
    </row>
    <row r="12" spans="1:28">
      <c r="A12" s="452">
        <v>1</v>
      </c>
      <c r="B12" s="452" t="s">
        <v>3866</v>
      </c>
      <c r="C12" s="435" t="s">
        <v>3252</v>
      </c>
      <c r="D12" s="435" t="s">
        <v>3848</v>
      </c>
      <c r="E12" s="452" t="str">
        <f t="shared" si="0"/>
        <v>ContagemVIGILANTE ARMADO - 12X36 DIURNO</v>
      </c>
      <c r="F12" s="452">
        <v>2</v>
      </c>
      <c r="G12" s="310">
        <v>1602.86</v>
      </c>
      <c r="H12" s="452"/>
      <c r="I12" s="455">
        <f t="shared" si="1"/>
        <v>480.85799999999995</v>
      </c>
      <c r="J12" s="310">
        <f t="shared" si="2"/>
        <v>0</v>
      </c>
      <c r="K12" s="452"/>
      <c r="L12" s="452"/>
      <c r="M12" s="310">
        <f t="shared" si="3"/>
        <v>146.80740454545455</v>
      </c>
      <c r="N12" s="455">
        <f t="shared" si="4"/>
        <v>47.357227272727279</v>
      </c>
      <c r="O12" s="207">
        <v>112.9</v>
      </c>
      <c r="P12" s="310">
        <v>15.99</v>
      </c>
      <c r="Q12" s="452"/>
      <c r="R12" s="452">
        <v>91.08</v>
      </c>
      <c r="S12" s="452">
        <v>17.03</v>
      </c>
      <c r="T12" s="452"/>
      <c r="U12" s="452"/>
      <c r="V12" s="452"/>
      <c r="W12" s="452"/>
      <c r="X12" s="310">
        <v>62.37</v>
      </c>
      <c r="Y12" s="452"/>
      <c r="Z12" s="310">
        <v>58.53</v>
      </c>
      <c r="AA12" s="452"/>
      <c r="AB12" s="452"/>
    </row>
    <row r="13" spans="1:28">
      <c r="A13" s="452">
        <v>1</v>
      </c>
      <c r="B13" s="452" t="s">
        <v>3866</v>
      </c>
      <c r="C13" s="435" t="s">
        <v>3252</v>
      </c>
      <c r="D13" s="435" t="s">
        <v>3850</v>
      </c>
      <c r="E13" s="452" t="str">
        <f t="shared" si="0"/>
        <v>ContagemVIGILANTE ARMADO - 12X36 NOTURNO</v>
      </c>
      <c r="F13" s="452">
        <v>2</v>
      </c>
      <c r="G13" s="310">
        <v>1602.86</v>
      </c>
      <c r="H13" s="452"/>
      <c r="I13" s="455">
        <f t="shared" si="1"/>
        <v>480.85799999999995</v>
      </c>
      <c r="J13" s="310">
        <f t="shared" si="2"/>
        <v>411.06073272727275</v>
      </c>
      <c r="K13" s="452"/>
      <c r="L13" s="452"/>
      <c r="M13" s="310">
        <f t="shared" si="3"/>
        <v>175.76850162396693</v>
      </c>
      <c r="N13" s="455">
        <f t="shared" si="4"/>
        <v>47.357227272727279</v>
      </c>
      <c r="O13" s="207">
        <v>112.9</v>
      </c>
      <c r="P13" s="310">
        <v>15.99</v>
      </c>
      <c r="Q13" s="452"/>
      <c r="R13" s="452">
        <v>91.08</v>
      </c>
      <c r="S13" s="452">
        <v>17.03</v>
      </c>
      <c r="T13" s="452"/>
      <c r="U13" s="452"/>
      <c r="V13" s="452"/>
      <c r="W13" s="452"/>
      <c r="X13" s="310">
        <v>62.37</v>
      </c>
      <c r="Y13" s="452"/>
      <c r="Z13" s="310">
        <v>58.53</v>
      </c>
      <c r="AA13" s="452"/>
      <c r="AB13" s="452"/>
    </row>
    <row r="14" spans="1:28">
      <c r="A14" s="452">
        <v>1</v>
      </c>
      <c r="B14" s="452" t="s">
        <v>3866</v>
      </c>
      <c r="C14" s="435" t="s">
        <v>3835</v>
      </c>
      <c r="D14" s="435" t="s">
        <v>3849</v>
      </c>
      <c r="E14" s="452" t="str">
        <f t="shared" si="0"/>
        <v>FormigaVIGILANTE ARMADO - 220 H</v>
      </c>
      <c r="F14" s="452">
        <v>1</v>
      </c>
      <c r="G14" s="310">
        <v>1602.86</v>
      </c>
      <c r="H14" s="452"/>
      <c r="I14" s="455">
        <f t="shared" si="1"/>
        <v>480.85799999999995</v>
      </c>
      <c r="J14" s="310">
        <f t="shared" si="2"/>
        <v>0</v>
      </c>
      <c r="K14" s="452"/>
      <c r="L14" s="452"/>
      <c r="M14" s="310">
        <f t="shared" si="3"/>
        <v>189.42890909090909</v>
      </c>
      <c r="N14" s="455">
        <f t="shared" si="4"/>
        <v>13.891453333333336</v>
      </c>
      <c r="O14" s="207">
        <v>112.9</v>
      </c>
      <c r="P14" s="310">
        <v>15.99</v>
      </c>
      <c r="Q14" s="452"/>
      <c r="R14" s="452">
        <v>91.08</v>
      </c>
      <c r="S14" s="452">
        <v>17.03</v>
      </c>
      <c r="T14" s="452"/>
      <c r="U14" s="452"/>
      <c r="V14" s="452"/>
      <c r="W14" s="452"/>
      <c r="X14" s="310">
        <v>62.37</v>
      </c>
      <c r="Y14" s="452"/>
      <c r="Z14" s="310">
        <v>58.53</v>
      </c>
      <c r="AA14" s="452"/>
      <c r="AB14" s="452"/>
    </row>
    <row r="15" spans="1:28">
      <c r="A15" s="452">
        <v>1</v>
      </c>
      <c r="B15" s="452" t="s">
        <v>3866</v>
      </c>
      <c r="C15" s="435" t="s">
        <v>3257</v>
      </c>
      <c r="D15" s="435" t="s">
        <v>3849</v>
      </c>
      <c r="E15" s="452" t="str">
        <f t="shared" si="0"/>
        <v>Governador ValadaresVIGILANTE ARMADO - 220 H</v>
      </c>
      <c r="F15" s="452">
        <v>1</v>
      </c>
      <c r="G15" s="310">
        <v>1602.86</v>
      </c>
      <c r="H15" s="452"/>
      <c r="I15" s="455">
        <f t="shared" si="1"/>
        <v>480.85799999999995</v>
      </c>
      <c r="J15" s="310">
        <f t="shared" si="2"/>
        <v>0</v>
      </c>
      <c r="K15" s="452"/>
      <c r="L15" s="452"/>
      <c r="M15" s="310">
        <f t="shared" si="3"/>
        <v>189.42890909090909</v>
      </c>
      <c r="N15" s="455">
        <f t="shared" si="4"/>
        <v>13.891453333333336</v>
      </c>
      <c r="O15" s="207">
        <v>112.9</v>
      </c>
      <c r="P15" s="310">
        <v>15.99</v>
      </c>
      <c r="Q15" s="452"/>
      <c r="R15" s="452">
        <v>91.08</v>
      </c>
      <c r="S15" s="452">
        <v>17.03</v>
      </c>
      <c r="T15" s="452"/>
      <c r="U15" s="452"/>
      <c r="V15" s="452"/>
      <c r="W15" s="452"/>
      <c r="X15" s="310">
        <v>62.37</v>
      </c>
      <c r="Y15" s="452"/>
      <c r="Z15" s="310">
        <v>58.53</v>
      </c>
      <c r="AA15" s="452"/>
      <c r="AB15" s="452"/>
    </row>
    <row r="16" spans="1:28">
      <c r="A16" s="452">
        <v>1</v>
      </c>
      <c r="B16" s="452" t="s">
        <v>3866</v>
      </c>
      <c r="C16" s="435" t="s">
        <v>3257</v>
      </c>
      <c r="D16" s="435" t="s">
        <v>3848</v>
      </c>
      <c r="E16" s="452" t="str">
        <f t="shared" si="0"/>
        <v>Governador ValadaresVIGILANTE ARMADO - 12X36 DIURNO</v>
      </c>
      <c r="F16" s="452">
        <v>2</v>
      </c>
      <c r="G16" s="310">
        <v>1602.86</v>
      </c>
      <c r="H16" s="452"/>
      <c r="I16" s="455">
        <f t="shared" si="1"/>
        <v>480.85799999999995</v>
      </c>
      <c r="J16" s="310">
        <f t="shared" si="2"/>
        <v>0</v>
      </c>
      <c r="K16" s="452"/>
      <c r="L16" s="452"/>
      <c r="M16" s="310">
        <f t="shared" si="3"/>
        <v>146.80740454545455</v>
      </c>
      <c r="N16" s="455">
        <f t="shared" si="4"/>
        <v>47.357227272727279</v>
      </c>
      <c r="O16" s="207">
        <v>112.9</v>
      </c>
      <c r="P16" s="310">
        <v>15.99</v>
      </c>
      <c r="Q16" s="452"/>
      <c r="R16" s="452">
        <v>91.08</v>
      </c>
      <c r="S16" s="452">
        <v>17.03</v>
      </c>
      <c r="T16" s="452"/>
      <c r="U16" s="452"/>
      <c r="V16" s="452"/>
      <c r="W16" s="452"/>
      <c r="X16" s="310">
        <v>62.37</v>
      </c>
      <c r="Y16" s="452"/>
      <c r="Z16" s="310">
        <v>58.53</v>
      </c>
      <c r="AA16" s="452"/>
      <c r="AB16" s="452"/>
    </row>
    <row r="17" spans="1:28">
      <c r="A17" s="452">
        <v>1</v>
      </c>
      <c r="B17" s="452" t="s">
        <v>3866</v>
      </c>
      <c r="C17" s="435" t="s">
        <v>3836</v>
      </c>
      <c r="D17" s="435" t="s">
        <v>3849</v>
      </c>
      <c r="E17" s="452" t="str">
        <f t="shared" si="0"/>
        <v>IgarapéVIGILANTE ARMADO - 220 H</v>
      </c>
      <c r="F17" s="452">
        <v>1</v>
      </c>
      <c r="G17" s="310">
        <v>1602.86</v>
      </c>
      <c r="H17" s="452"/>
      <c r="I17" s="455">
        <f t="shared" si="1"/>
        <v>480.85799999999995</v>
      </c>
      <c r="J17" s="310">
        <f t="shared" si="2"/>
        <v>0</v>
      </c>
      <c r="K17" s="452"/>
      <c r="L17" s="452"/>
      <c r="M17" s="310">
        <f t="shared" si="3"/>
        <v>189.42890909090909</v>
      </c>
      <c r="N17" s="455">
        <f t="shared" si="4"/>
        <v>13.891453333333336</v>
      </c>
      <c r="O17" s="207">
        <v>112.9</v>
      </c>
      <c r="P17" s="310">
        <v>15.99</v>
      </c>
      <c r="Q17" s="452"/>
      <c r="R17" s="452">
        <v>91.08</v>
      </c>
      <c r="S17" s="452">
        <v>17.03</v>
      </c>
      <c r="T17" s="452"/>
      <c r="U17" s="452"/>
      <c r="V17" s="452"/>
      <c r="W17" s="452"/>
      <c r="X17" s="310">
        <v>62.37</v>
      </c>
      <c r="Y17" s="452"/>
      <c r="Z17" s="310">
        <v>58.53</v>
      </c>
      <c r="AA17" s="452"/>
      <c r="AB17" s="452"/>
    </row>
    <row r="18" spans="1:28">
      <c r="A18" s="452">
        <v>1</v>
      </c>
      <c r="B18" s="452" t="s">
        <v>3866</v>
      </c>
      <c r="C18" s="435" t="s">
        <v>3837</v>
      </c>
      <c r="D18" s="435" t="s">
        <v>3849</v>
      </c>
      <c r="E18" s="452" t="str">
        <f t="shared" si="0"/>
        <v>IpatingaVIGILANTE ARMADO - 220 H</v>
      </c>
      <c r="F18" s="452">
        <v>1</v>
      </c>
      <c r="G18" s="310">
        <v>1602.86</v>
      </c>
      <c r="H18" s="452"/>
      <c r="I18" s="455">
        <f t="shared" si="1"/>
        <v>480.85799999999995</v>
      </c>
      <c r="J18" s="310">
        <f t="shared" si="2"/>
        <v>0</v>
      </c>
      <c r="K18" s="452"/>
      <c r="L18" s="452"/>
      <c r="M18" s="310">
        <f t="shared" si="3"/>
        <v>189.42890909090909</v>
      </c>
      <c r="N18" s="455">
        <f t="shared" si="4"/>
        <v>13.891453333333336</v>
      </c>
      <c r="O18" s="207">
        <v>112.9</v>
      </c>
      <c r="P18" s="310">
        <v>15.99</v>
      </c>
      <c r="Q18" s="452"/>
      <c r="R18" s="452">
        <v>91.08</v>
      </c>
      <c r="S18" s="452">
        <v>17.03</v>
      </c>
      <c r="T18" s="452"/>
      <c r="U18" s="452"/>
      <c r="V18" s="452"/>
      <c r="W18" s="452"/>
      <c r="X18" s="310">
        <v>62.37</v>
      </c>
      <c r="Y18" s="452"/>
      <c r="Z18" s="310">
        <v>58.53</v>
      </c>
      <c r="AA18" s="452"/>
      <c r="AB18" s="452"/>
    </row>
    <row r="19" spans="1:28">
      <c r="A19" s="452">
        <v>1</v>
      </c>
      <c r="B19" s="452" t="s">
        <v>3866</v>
      </c>
      <c r="C19" s="435" t="s">
        <v>3259</v>
      </c>
      <c r="D19" s="435" t="s">
        <v>3849</v>
      </c>
      <c r="E19" s="452" t="str">
        <f t="shared" si="0"/>
        <v>ItuiutabaVIGILANTE ARMADO - 220 H</v>
      </c>
      <c r="F19" s="452">
        <v>1</v>
      </c>
      <c r="G19" s="310">
        <v>1602.86</v>
      </c>
      <c r="H19" s="452"/>
      <c r="I19" s="455">
        <f t="shared" si="1"/>
        <v>480.85799999999995</v>
      </c>
      <c r="J19" s="310">
        <f t="shared" si="2"/>
        <v>0</v>
      </c>
      <c r="K19" s="452"/>
      <c r="L19" s="452"/>
      <c r="M19" s="310">
        <f t="shared" si="3"/>
        <v>189.42890909090909</v>
      </c>
      <c r="N19" s="455">
        <f t="shared" si="4"/>
        <v>13.891453333333336</v>
      </c>
      <c r="O19" s="207">
        <v>112.9</v>
      </c>
      <c r="P19" s="310">
        <v>15.99</v>
      </c>
      <c r="Q19" s="452"/>
      <c r="R19" s="452">
        <v>91.08</v>
      </c>
      <c r="S19" s="452">
        <v>17.03</v>
      </c>
      <c r="T19" s="452"/>
      <c r="U19" s="452"/>
      <c r="V19" s="452"/>
      <c r="W19" s="452"/>
      <c r="X19" s="310">
        <v>62.37</v>
      </c>
      <c r="Y19" s="452"/>
      <c r="Z19" s="310">
        <v>58.53</v>
      </c>
      <c r="AA19" s="452"/>
      <c r="AB19" s="452"/>
    </row>
    <row r="20" spans="1:28">
      <c r="A20" s="452">
        <v>1</v>
      </c>
      <c r="B20" s="452" t="s">
        <v>3866</v>
      </c>
      <c r="C20" s="435" t="s">
        <v>3263</v>
      </c>
      <c r="D20" s="435" t="s">
        <v>3849</v>
      </c>
      <c r="E20" s="452" t="str">
        <f t="shared" si="0"/>
        <v>LavrasVIGILANTE ARMADO - 220 H</v>
      </c>
      <c r="F20" s="452">
        <v>1</v>
      </c>
      <c r="G20" s="310">
        <v>1602.86</v>
      </c>
      <c r="H20" s="452"/>
      <c r="I20" s="455">
        <f t="shared" si="1"/>
        <v>480.85799999999995</v>
      </c>
      <c r="J20" s="310">
        <f t="shared" si="2"/>
        <v>0</v>
      </c>
      <c r="K20" s="452"/>
      <c r="L20" s="452"/>
      <c r="M20" s="310">
        <f t="shared" si="3"/>
        <v>189.42890909090909</v>
      </c>
      <c r="N20" s="455">
        <f t="shared" si="4"/>
        <v>13.891453333333336</v>
      </c>
      <c r="O20" s="207">
        <v>112.9</v>
      </c>
      <c r="P20" s="310">
        <v>15.99</v>
      </c>
      <c r="Q20" s="452"/>
      <c r="R20" s="452">
        <v>91.08</v>
      </c>
      <c r="S20" s="452">
        <v>17.03</v>
      </c>
      <c r="T20" s="452"/>
      <c r="U20" s="452"/>
      <c r="V20" s="452"/>
      <c r="W20" s="452"/>
      <c r="X20" s="310">
        <v>62.37</v>
      </c>
      <c r="Y20" s="452"/>
      <c r="Z20" s="310">
        <v>58.53</v>
      </c>
      <c r="AA20" s="452"/>
      <c r="AB20" s="452"/>
    </row>
    <row r="21" spans="1:28">
      <c r="A21" s="452">
        <v>1</v>
      </c>
      <c r="B21" s="452" t="s">
        <v>3866</v>
      </c>
      <c r="C21" s="435" t="s">
        <v>3838</v>
      </c>
      <c r="D21" s="435" t="s">
        <v>3849</v>
      </c>
      <c r="E21" s="452" t="str">
        <f t="shared" si="0"/>
        <v>MatozinhosVIGILANTE ARMADO - 220 H</v>
      </c>
      <c r="F21" s="452">
        <v>1</v>
      </c>
      <c r="G21" s="310">
        <v>1602.86</v>
      </c>
      <c r="H21" s="452"/>
      <c r="I21" s="455">
        <f t="shared" si="1"/>
        <v>480.85799999999995</v>
      </c>
      <c r="J21" s="310">
        <f t="shared" si="2"/>
        <v>0</v>
      </c>
      <c r="K21" s="452"/>
      <c r="L21" s="452"/>
      <c r="M21" s="310">
        <f t="shared" si="3"/>
        <v>189.42890909090909</v>
      </c>
      <c r="N21" s="455">
        <f t="shared" si="4"/>
        <v>13.891453333333336</v>
      </c>
      <c r="O21" s="207">
        <v>112.9</v>
      </c>
      <c r="P21" s="310">
        <v>15.99</v>
      </c>
      <c r="Q21" s="452"/>
      <c r="R21" s="452">
        <v>91.08</v>
      </c>
      <c r="S21" s="452">
        <v>17.03</v>
      </c>
      <c r="T21" s="452"/>
      <c r="U21" s="452"/>
      <c r="V21" s="452"/>
      <c r="W21" s="452"/>
      <c r="X21" s="310">
        <v>62.37</v>
      </c>
      <c r="Y21" s="452"/>
      <c r="Z21" s="310">
        <v>58.53</v>
      </c>
      <c r="AA21" s="452"/>
      <c r="AB21" s="452"/>
    </row>
    <row r="22" spans="1:28">
      <c r="A22" s="452">
        <v>1</v>
      </c>
      <c r="B22" s="452" t="s">
        <v>3866</v>
      </c>
      <c r="C22" s="435" t="s">
        <v>3839</v>
      </c>
      <c r="D22" s="435" t="s">
        <v>3848</v>
      </c>
      <c r="E22" s="452" t="str">
        <f t="shared" si="0"/>
        <v>Monte CarmeloVIGILANTE ARMADO - 12X36 DIURNO</v>
      </c>
      <c r="F22" s="452">
        <v>2</v>
      </c>
      <c r="G22" s="310">
        <v>1602.86</v>
      </c>
      <c r="H22" s="452"/>
      <c r="I22" s="455">
        <f t="shared" si="1"/>
        <v>480.85799999999995</v>
      </c>
      <c r="J22" s="310">
        <f t="shared" si="2"/>
        <v>0</v>
      </c>
      <c r="K22" s="452"/>
      <c r="L22" s="452"/>
      <c r="M22" s="310">
        <f t="shared" si="3"/>
        <v>146.80740454545455</v>
      </c>
      <c r="N22" s="455">
        <f t="shared" si="4"/>
        <v>47.357227272727279</v>
      </c>
      <c r="O22" s="207">
        <v>112.9</v>
      </c>
      <c r="P22" s="310">
        <v>15.99</v>
      </c>
      <c r="Q22" s="452"/>
      <c r="R22" s="452">
        <v>91.08</v>
      </c>
      <c r="S22" s="452">
        <v>17.03</v>
      </c>
      <c r="T22" s="452"/>
      <c r="U22" s="452"/>
      <c r="V22" s="452"/>
      <c r="W22" s="452"/>
      <c r="X22" s="310">
        <v>62.37</v>
      </c>
      <c r="Y22" s="452"/>
      <c r="Z22" s="310">
        <v>58.53</v>
      </c>
      <c r="AA22" s="452"/>
      <c r="AB22" s="452"/>
    </row>
    <row r="23" spans="1:28">
      <c r="A23" s="452">
        <v>1</v>
      </c>
      <c r="B23" s="452" t="s">
        <v>3866</v>
      </c>
      <c r="C23" s="435" t="s">
        <v>3265</v>
      </c>
      <c r="D23" s="435" t="s">
        <v>3848</v>
      </c>
      <c r="E23" s="452" t="str">
        <f t="shared" si="0"/>
        <v>Montes ClarosVIGILANTE ARMADO - 12X36 DIURNO</v>
      </c>
      <c r="F23" s="452">
        <v>2</v>
      </c>
      <c r="G23" s="310">
        <v>1602.86</v>
      </c>
      <c r="H23" s="452"/>
      <c r="I23" s="455">
        <f t="shared" si="1"/>
        <v>480.85799999999995</v>
      </c>
      <c r="J23" s="310">
        <f t="shared" si="2"/>
        <v>0</v>
      </c>
      <c r="K23" s="452"/>
      <c r="L23" s="452"/>
      <c r="M23" s="310">
        <f t="shared" si="3"/>
        <v>146.80740454545455</v>
      </c>
      <c r="N23" s="455">
        <f t="shared" si="4"/>
        <v>47.357227272727279</v>
      </c>
      <c r="O23" s="207">
        <v>112.9</v>
      </c>
      <c r="P23" s="310">
        <v>15.99</v>
      </c>
      <c r="Q23" s="452"/>
      <c r="R23" s="452">
        <v>91.08</v>
      </c>
      <c r="S23" s="452">
        <v>17.03</v>
      </c>
      <c r="T23" s="452"/>
      <c r="U23" s="452"/>
      <c r="V23" s="452"/>
      <c r="W23" s="452"/>
      <c r="X23" s="310">
        <v>62.37</v>
      </c>
      <c r="Y23" s="452"/>
      <c r="Z23" s="310">
        <v>58.53</v>
      </c>
      <c r="AA23" s="452"/>
      <c r="AB23" s="452"/>
    </row>
    <row r="24" spans="1:28">
      <c r="A24" s="452">
        <v>1</v>
      </c>
      <c r="B24" s="452" t="s">
        <v>3866</v>
      </c>
      <c r="C24" s="435" t="s">
        <v>3265</v>
      </c>
      <c r="D24" s="435" t="s">
        <v>3850</v>
      </c>
      <c r="E24" s="452" t="str">
        <f t="shared" si="0"/>
        <v>Montes ClarosVIGILANTE ARMADO - 12X36 NOTURNO</v>
      </c>
      <c r="F24" s="452">
        <v>2</v>
      </c>
      <c r="G24" s="310">
        <v>1602.86</v>
      </c>
      <c r="H24" s="452"/>
      <c r="I24" s="455">
        <f t="shared" si="1"/>
        <v>480.85799999999995</v>
      </c>
      <c r="J24" s="310">
        <f t="shared" si="2"/>
        <v>411.06073272727275</v>
      </c>
      <c r="K24" s="452"/>
      <c r="L24" s="452"/>
      <c r="M24" s="310">
        <f t="shared" si="3"/>
        <v>175.76850162396693</v>
      </c>
      <c r="N24" s="455">
        <f t="shared" si="4"/>
        <v>47.357227272727279</v>
      </c>
      <c r="O24" s="207">
        <v>112.9</v>
      </c>
      <c r="P24" s="310">
        <v>15.99</v>
      </c>
      <c r="Q24" s="452"/>
      <c r="R24" s="452">
        <v>91.08</v>
      </c>
      <c r="S24" s="452">
        <v>17.03</v>
      </c>
      <c r="T24" s="452"/>
      <c r="U24" s="452"/>
      <c r="V24" s="452"/>
      <c r="W24" s="452"/>
      <c r="X24" s="310">
        <v>62.37</v>
      </c>
      <c r="Y24" s="452"/>
      <c r="Z24" s="310">
        <v>58.53</v>
      </c>
      <c r="AA24" s="452"/>
      <c r="AB24" s="452"/>
    </row>
    <row r="25" spans="1:28">
      <c r="A25" s="452">
        <v>1</v>
      </c>
      <c r="B25" s="452" t="s">
        <v>3866</v>
      </c>
      <c r="C25" s="435" t="s">
        <v>3267</v>
      </c>
      <c r="D25" s="435" t="s">
        <v>3848</v>
      </c>
      <c r="E25" s="452" t="str">
        <f t="shared" si="0"/>
        <v>Nova LimaVIGILANTE ARMADO - 12X36 DIURNO</v>
      </c>
      <c r="F25" s="452">
        <v>2</v>
      </c>
      <c r="G25" s="310">
        <v>1602.86</v>
      </c>
      <c r="H25" s="452"/>
      <c r="I25" s="455">
        <f t="shared" si="1"/>
        <v>480.85799999999995</v>
      </c>
      <c r="J25" s="310">
        <f t="shared" si="2"/>
        <v>0</v>
      </c>
      <c r="K25" s="452"/>
      <c r="L25" s="452"/>
      <c r="M25" s="310">
        <f t="shared" si="3"/>
        <v>146.80740454545455</v>
      </c>
      <c r="N25" s="455">
        <f t="shared" si="4"/>
        <v>47.357227272727279</v>
      </c>
      <c r="O25" s="207">
        <v>112.9</v>
      </c>
      <c r="P25" s="310">
        <v>15.99</v>
      </c>
      <c r="Q25" s="452"/>
      <c r="R25" s="452">
        <v>91.08</v>
      </c>
      <c r="S25" s="452">
        <v>17.03</v>
      </c>
      <c r="T25" s="452"/>
      <c r="U25" s="452"/>
      <c r="V25" s="452"/>
      <c r="W25" s="452"/>
      <c r="X25" s="310">
        <v>62.37</v>
      </c>
      <c r="Y25" s="452"/>
      <c r="Z25" s="310">
        <v>58.53</v>
      </c>
      <c r="AA25" s="452"/>
      <c r="AB25" s="452"/>
    </row>
    <row r="26" spans="1:28">
      <c r="A26" s="452">
        <v>1</v>
      </c>
      <c r="B26" s="452" t="s">
        <v>3866</v>
      </c>
      <c r="C26" s="435" t="s">
        <v>3840</v>
      </c>
      <c r="D26" s="435" t="s">
        <v>3849</v>
      </c>
      <c r="E26" s="452" t="str">
        <f t="shared" si="0"/>
        <v>PorteirinhaVIGILANTE ARMADO - 220 H</v>
      </c>
      <c r="F26" s="452">
        <v>1</v>
      </c>
      <c r="G26" s="310">
        <v>1602.86</v>
      </c>
      <c r="H26" s="452"/>
      <c r="I26" s="455">
        <f t="shared" si="1"/>
        <v>480.85799999999995</v>
      </c>
      <c r="J26" s="310">
        <f t="shared" si="2"/>
        <v>0</v>
      </c>
      <c r="K26" s="452"/>
      <c r="L26" s="452"/>
      <c r="M26" s="310">
        <f t="shared" si="3"/>
        <v>189.42890909090909</v>
      </c>
      <c r="N26" s="455">
        <f t="shared" si="4"/>
        <v>13.891453333333336</v>
      </c>
      <c r="O26" s="207">
        <v>112.9</v>
      </c>
      <c r="P26" s="310">
        <v>15.99</v>
      </c>
      <c r="Q26" s="452"/>
      <c r="R26" s="452">
        <v>91.08</v>
      </c>
      <c r="S26" s="452">
        <v>17.03</v>
      </c>
      <c r="T26" s="452"/>
      <c r="U26" s="452"/>
      <c r="V26" s="452"/>
      <c r="W26" s="452"/>
      <c r="X26" s="310">
        <v>62.37</v>
      </c>
      <c r="Y26" s="452"/>
      <c r="Z26" s="310">
        <v>58.53</v>
      </c>
      <c r="AA26" s="452"/>
      <c r="AB26" s="452"/>
    </row>
    <row r="27" spans="1:28">
      <c r="A27" s="452">
        <v>1</v>
      </c>
      <c r="B27" s="452" t="s">
        <v>3866</v>
      </c>
      <c r="C27" s="435" t="s">
        <v>3274</v>
      </c>
      <c r="D27" s="435" t="s">
        <v>3848</v>
      </c>
      <c r="E27" s="452" t="str">
        <f t="shared" si="0"/>
        <v>Pouso AlegreVIGILANTE ARMADO - 12X36 DIURNO</v>
      </c>
      <c r="F27" s="452">
        <v>2</v>
      </c>
      <c r="G27" s="310">
        <v>1602.86</v>
      </c>
      <c r="H27" s="452"/>
      <c r="I27" s="455">
        <f t="shared" si="1"/>
        <v>480.85799999999995</v>
      </c>
      <c r="J27" s="310">
        <f t="shared" si="2"/>
        <v>0</v>
      </c>
      <c r="K27" s="452"/>
      <c r="L27" s="452"/>
      <c r="M27" s="310">
        <f t="shared" si="3"/>
        <v>146.80740454545455</v>
      </c>
      <c r="N27" s="455">
        <f t="shared" si="4"/>
        <v>47.357227272727279</v>
      </c>
      <c r="O27" s="207">
        <v>112.9</v>
      </c>
      <c r="P27" s="310">
        <v>15.99</v>
      </c>
      <c r="Q27" s="452"/>
      <c r="R27" s="452">
        <v>91.08</v>
      </c>
      <c r="S27" s="452">
        <v>17.03</v>
      </c>
      <c r="T27" s="452"/>
      <c r="U27" s="452"/>
      <c r="V27" s="452"/>
      <c r="W27" s="452"/>
      <c r="X27" s="310">
        <v>62.37</v>
      </c>
      <c r="Y27" s="452"/>
      <c r="Z27" s="310">
        <v>58.53</v>
      </c>
      <c r="AA27" s="452"/>
      <c r="AB27" s="452"/>
    </row>
    <row r="28" spans="1:28">
      <c r="A28" s="452">
        <v>1</v>
      </c>
      <c r="B28" s="452" t="s">
        <v>3866</v>
      </c>
      <c r="C28" s="435" t="s">
        <v>3274</v>
      </c>
      <c r="D28" s="435" t="s">
        <v>3850</v>
      </c>
      <c r="E28" s="452" t="str">
        <f t="shared" si="0"/>
        <v>Pouso AlegreVIGILANTE ARMADO - 12X36 NOTURNO</v>
      </c>
      <c r="F28" s="452">
        <v>2</v>
      </c>
      <c r="G28" s="310">
        <v>1602.86</v>
      </c>
      <c r="H28" s="452"/>
      <c r="I28" s="455">
        <f t="shared" si="1"/>
        <v>480.85799999999995</v>
      </c>
      <c r="J28" s="310">
        <f t="shared" si="2"/>
        <v>411.06073272727275</v>
      </c>
      <c r="K28" s="452"/>
      <c r="L28" s="452"/>
      <c r="M28" s="310">
        <f t="shared" si="3"/>
        <v>175.76850162396693</v>
      </c>
      <c r="N28" s="455">
        <f t="shared" si="4"/>
        <v>47.357227272727279</v>
      </c>
      <c r="O28" s="207">
        <v>112.9</v>
      </c>
      <c r="P28" s="310">
        <v>15.99</v>
      </c>
      <c r="Q28" s="452"/>
      <c r="R28" s="452">
        <v>91.08</v>
      </c>
      <c r="S28" s="452">
        <v>17.03</v>
      </c>
      <c r="T28" s="452"/>
      <c r="U28" s="452"/>
      <c r="V28" s="452"/>
      <c r="W28" s="452"/>
      <c r="X28" s="310">
        <v>62.37</v>
      </c>
      <c r="Y28" s="452"/>
      <c r="Z28" s="310">
        <v>58.53</v>
      </c>
      <c r="AA28" s="452"/>
      <c r="AB28" s="452"/>
    </row>
    <row r="29" spans="1:28">
      <c r="A29" s="452">
        <v>1</v>
      </c>
      <c r="B29" s="452" t="s">
        <v>3866</v>
      </c>
      <c r="C29" s="435" t="s">
        <v>3841</v>
      </c>
      <c r="D29" s="435" t="s">
        <v>3849</v>
      </c>
      <c r="E29" s="452" t="str">
        <f t="shared" si="0"/>
        <v>Ribeirão das NevesVIGILANTE ARMADO - 220 H</v>
      </c>
      <c r="F29" s="452">
        <v>1</v>
      </c>
      <c r="G29" s="310">
        <v>1602.86</v>
      </c>
      <c r="H29" s="452"/>
      <c r="I29" s="455">
        <f t="shared" si="1"/>
        <v>480.85799999999995</v>
      </c>
      <c r="J29" s="310">
        <f t="shared" si="2"/>
        <v>0</v>
      </c>
      <c r="K29" s="452"/>
      <c r="L29" s="452"/>
      <c r="M29" s="310">
        <f t="shared" si="3"/>
        <v>189.42890909090909</v>
      </c>
      <c r="N29" s="455">
        <f t="shared" si="4"/>
        <v>13.891453333333336</v>
      </c>
      <c r="O29" s="207">
        <v>112.9</v>
      </c>
      <c r="P29" s="310">
        <v>15.99</v>
      </c>
      <c r="Q29" s="452"/>
      <c r="R29" s="452">
        <v>91.08</v>
      </c>
      <c r="S29" s="452">
        <v>17.03</v>
      </c>
      <c r="T29" s="452"/>
      <c r="U29" s="452"/>
      <c r="V29" s="452"/>
      <c r="W29" s="452"/>
      <c r="X29" s="310">
        <v>62.37</v>
      </c>
      <c r="Y29" s="452"/>
      <c r="Z29" s="310">
        <v>58.53</v>
      </c>
      <c r="AA29" s="452"/>
      <c r="AB29" s="452"/>
    </row>
    <row r="30" spans="1:28">
      <c r="A30" s="452">
        <v>1</v>
      </c>
      <c r="B30" s="452" t="s">
        <v>3866</v>
      </c>
      <c r="C30" s="435" t="s">
        <v>3841</v>
      </c>
      <c r="D30" s="435" t="s">
        <v>3848</v>
      </c>
      <c r="E30" s="452" t="str">
        <f t="shared" si="0"/>
        <v>Ribeirão das NevesVIGILANTE ARMADO - 12X36 DIURNO</v>
      </c>
      <c r="F30" s="452">
        <v>2</v>
      </c>
      <c r="G30" s="310">
        <v>1602.86</v>
      </c>
      <c r="H30" s="452"/>
      <c r="I30" s="455">
        <f t="shared" si="1"/>
        <v>480.85799999999995</v>
      </c>
      <c r="J30" s="310">
        <f t="shared" si="2"/>
        <v>0</v>
      </c>
      <c r="K30" s="452"/>
      <c r="L30" s="452"/>
      <c r="M30" s="310">
        <f t="shared" si="3"/>
        <v>146.80740454545455</v>
      </c>
      <c r="N30" s="455">
        <f t="shared" si="4"/>
        <v>47.357227272727279</v>
      </c>
      <c r="O30" s="207">
        <v>112.9</v>
      </c>
      <c r="P30" s="310">
        <v>15.99</v>
      </c>
      <c r="Q30" s="452"/>
      <c r="R30" s="452">
        <v>91.08</v>
      </c>
      <c r="S30" s="452">
        <v>17.03</v>
      </c>
      <c r="T30" s="452"/>
      <c r="U30" s="452"/>
      <c r="V30" s="452"/>
      <c r="W30" s="452"/>
      <c r="X30" s="310">
        <v>62.37</v>
      </c>
      <c r="Y30" s="452"/>
      <c r="Z30" s="310">
        <v>58.53</v>
      </c>
      <c r="AA30" s="452"/>
      <c r="AB30" s="452"/>
    </row>
    <row r="31" spans="1:28">
      <c r="A31" s="452">
        <v>1</v>
      </c>
      <c r="B31" s="452" t="s">
        <v>3866</v>
      </c>
      <c r="C31" s="435" t="s">
        <v>3841</v>
      </c>
      <c r="D31" s="435" t="s">
        <v>3850</v>
      </c>
      <c r="E31" s="452" t="str">
        <f t="shared" si="0"/>
        <v>Ribeirão das NevesVIGILANTE ARMADO - 12X36 NOTURNO</v>
      </c>
      <c r="F31" s="452">
        <v>2</v>
      </c>
      <c r="G31" s="310">
        <v>1602.86</v>
      </c>
      <c r="H31" s="452"/>
      <c r="I31" s="455">
        <f t="shared" si="1"/>
        <v>480.85799999999995</v>
      </c>
      <c r="J31" s="310">
        <f t="shared" si="2"/>
        <v>411.06073272727275</v>
      </c>
      <c r="K31" s="452"/>
      <c r="L31" s="452"/>
      <c r="M31" s="310">
        <f t="shared" si="3"/>
        <v>175.76850162396693</v>
      </c>
      <c r="N31" s="455">
        <f t="shared" si="4"/>
        <v>47.357227272727279</v>
      </c>
      <c r="O31" s="207">
        <v>112.9</v>
      </c>
      <c r="P31" s="310">
        <v>15.99</v>
      </c>
      <c r="Q31" s="452"/>
      <c r="R31" s="452">
        <v>91.08</v>
      </c>
      <c r="S31" s="452">
        <v>17.03</v>
      </c>
      <c r="T31" s="452"/>
      <c r="U31" s="452"/>
      <c r="V31" s="452"/>
      <c r="W31" s="452"/>
      <c r="X31" s="310">
        <v>62.37</v>
      </c>
      <c r="Y31" s="452"/>
      <c r="Z31" s="310">
        <v>58.53</v>
      </c>
      <c r="AA31" s="452"/>
      <c r="AB31" s="452"/>
    </row>
    <row r="32" spans="1:28">
      <c r="A32" s="452">
        <v>1</v>
      </c>
      <c r="B32" s="452" t="s">
        <v>3866</v>
      </c>
      <c r="C32" s="435" t="s">
        <v>3277</v>
      </c>
      <c r="D32" s="435" t="s">
        <v>3848</v>
      </c>
      <c r="E32" s="452" t="str">
        <f t="shared" si="0"/>
        <v>Santa LuziaVIGILANTE ARMADO - 12X36 DIURNO</v>
      </c>
      <c r="F32" s="452">
        <v>2</v>
      </c>
      <c r="G32" s="310">
        <v>1602.86</v>
      </c>
      <c r="H32" s="452"/>
      <c r="I32" s="455">
        <f t="shared" si="1"/>
        <v>480.85799999999995</v>
      </c>
      <c r="J32" s="310">
        <f t="shared" si="2"/>
        <v>0</v>
      </c>
      <c r="K32" s="452"/>
      <c r="L32" s="452"/>
      <c r="M32" s="310">
        <f t="shared" si="3"/>
        <v>146.80740454545455</v>
      </c>
      <c r="N32" s="455">
        <f t="shared" si="4"/>
        <v>47.357227272727279</v>
      </c>
      <c r="O32" s="207">
        <v>112.9</v>
      </c>
      <c r="P32" s="310">
        <v>15.99</v>
      </c>
      <c r="Q32" s="452"/>
      <c r="R32" s="452">
        <v>91.08</v>
      </c>
      <c r="S32" s="452">
        <v>17.03</v>
      </c>
      <c r="T32" s="452"/>
      <c r="U32" s="452"/>
      <c r="V32" s="452"/>
      <c r="W32" s="452"/>
      <c r="X32" s="310">
        <v>62.37</v>
      </c>
      <c r="Y32" s="452"/>
      <c r="Z32" s="310">
        <v>58.53</v>
      </c>
      <c r="AA32" s="452"/>
      <c r="AB32" s="452"/>
    </row>
    <row r="33" spans="1:28">
      <c r="A33" s="452">
        <v>1</v>
      </c>
      <c r="B33" s="452" t="s">
        <v>3866</v>
      </c>
      <c r="C33" s="435" t="s">
        <v>3277</v>
      </c>
      <c r="D33" s="435" t="s">
        <v>3850</v>
      </c>
      <c r="E33" s="452" t="str">
        <f t="shared" si="0"/>
        <v>Santa LuziaVIGILANTE ARMADO - 12X36 NOTURNO</v>
      </c>
      <c r="F33" s="452">
        <v>2</v>
      </c>
      <c r="G33" s="310">
        <v>1602.86</v>
      </c>
      <c r="H33" s="452"/>
      <c r="I33" s="455">
        <f t="shared" si="1"/>
        <v>480.85799999999995</v>
      </c>
      <c r="J33" s="310">
        <f t="shared" si="2"/>
        <v>411.06073272727275</v>
      </c>
      <c r="K33" s="452"/>
      <c r="L33" s="452"/>
      <c r="M33" s="310">
        <f t="shared" si="3"/>
        <v>175.76850162396693</v>
      </c>
      <c r="N33" s="455">
        <f t="shared" si="4"/>
        <v>47.357227272727279</v>
      </c>
      <c r="O33" s="207">
        <v>112.9</v>
      </c>
      <c r="P33" s="310">
        <v>15.99</v>
      </c>
      <c r="Q33" s="452"/>
      <c r="R33" s="452">
        <v>91.08</v>
      </c>
      <c r="S33" s="452">
        <v>17.03</v>
      </c>
      <c r="T33" s="452"/>
      <c r="U33" s="452"/>
      <c r="V33" s="452"/>
      <c r="W33" s="452"/>
      <c r="X33" s="310">
        <v>62.37</v>
      </c>
      <c r="Y33" s="452"/>
      <c r="Z33" s="310">
        <v>58.53</v>
      </c>
      <c r="AA33" s="452"/>
      <c r="AB33" s="452"/>
    </row>
    <row r="34" spans="1:28">
      <c r="A34" s="452">
        <v>1</v>
      </c>
      <c r="B34" s="452" t="s">
        <v>3866</v>
      </c>
      <c r="C34" s="435" t="s">
        <v>3842</v>
      </c>
      <c r="D34" s="435" t="s">
        <v>3848</v>
      </c>
      <c r="E34" s="452" t="str">
        <f t="shared" si="0"/>
        <v>São João Del ReiVIGILANTE ARMADO - 12X36 DIURNO</v>
      </c>
      <c r="F34" s="452">
        <v>2</v>
      </c>
      <c r="G34" s="310">
        <v>1602.86</v>
      </c>
      <c r="H34" s="452"/>
      <c r="I34" s="455">
        <f t="shared" si="1"/>
        <v>480.85799999999995</v>
      </c>
      <c r="J34" s="310">
        <f t="shared" si="2"/>
        <v>0</v>
      </c>
      <c r="K34" s="452"/>
      <c r="L34" s="452"/>
      <c r="M34" s="310">
        <f t="shared" si="3"/>
        <v>146.80740454545455</v>
      </c>
      <c r="N34" s="455">
        <f t="shared" si="4"/>
        <v>47.357227272727279</v>
      </c>
      <c r="O34" s="207">
        <v>112.9</v>
      </c>
      <c r="P34" s="310">
        <v>15.99</v>
      </c>
      <c r="Q34" s="452"/>
      <c r="R34" s="452">
        <v>91.08</v>
      </c>
      <c r="S34" s="452">
        <v>17.03</v>
      </c>
      <c r="T34" s="452"/>
      <c r="U34" s="452"/>
      <c r="V34" s="452"/>
      <c r="W34" s="452"/>
      <c r="X34" s="310">
        <v>62.37</v>
      </c>
      <c r="Y34" s="452"/>
      <c r="Z34" s="310">
        <v>58.53</v>
      </c>
      <c r="AA34" s="452"/>
      <c r="AB34" s="452"/>
    </row>
    <row r="35" spans="1:28">
      <c r="A35" s="452">
        <v>1</v>
      </c>
      <c r="B35" s="452" t="s">
        <v>3866</v>
      </c>
      <c r="C35" s="435" t="s">
        <v>3843</v>
      </c>
      <c r="D35" s="435" t="s">
        <v>3848</v>
      </c>
      <c r="E35" s="452" t="str">
        <f t="shared" si="0"/>
        <v>São LourençoVIGILANTE ARMADO - 12X36 DIURNO</v>
      </c>
      <c r="F35" s="452">
        <v>2</v>
      </c>
      <c r="G35" s="310">
        <v>1602.86</v>
      </c>
      <c r="H35" s="452"/>
      <c r="I35" s="455">
        <f t="shared" si="1"/>
        <v>480.85799999999995</v>
      </c>
      <c r="J35" s="310">
        <f t="shared" si="2"/>
        <v>0</v>
      </c>
      <c r="K35" s="452"/>
      <c r="L35" s="452"/>
      <c r="M35" s="310">
        <f t="shared" si="3"/>
        <v>146.80740454545455</v>
      </c>
      <c r="N35" s="455">
        <f t="shared" si="4"/>
        <v>47.357227272727279</v>
      </c>
      <c r="O35" s="207">
        <v>112.9</v>
      </c>
      <c r="P35" s="310">
        <v>15.99</v>
      </c>
      <c r="Q35" s="452"/>
      <c r="R35" s="452">
        <v>91.08</v>
      </c>
      <c r="S35" s="452">
        <v>17.03</v>
      </c>
      <c r="T35" s="452"/>
      <c r="U35" s="452"/>
      <c r="V35" s="452"/>
      <c r="W35" s="452"/>
      <c r="X35" s="310">
        <v>62.37</v>
      </c>
      <c r="Y35" s="452"/>
      <c r="Z35" s="310">
        <v>58.53</v>
      </c>
      <c r="AA35" s="452"/>
      <c r="AB35" s="452"/>
    </row>
    <row r="36" spans="1:28">
      <c r="A36" s="452">
        <v>1</v>
      </c>
      <c r="B36" s="452" t="s">
        <v>3866</v>
      </c>
      <c r="C36" s="435" t="s">
        <v>3844</v>
      </c>
      <c r="D36" s="435" t="s">
        <v>3848</v>
      </c>
      <c r="E36" s="452" t="str">
        <f t="shared" si="0"/>
        <v>São Sebastião do ParaísoVIGILANTE ARMADO - 12X36 DIURNO</v>
      </c>
      <c r="F36" s="452">
        <v>2</v>
      </c>
      <c r="G36" s="310">
        <v>1602.86</v>
      </c>
      <c r="H36" s="452"/>
      <c r="I36" s="455">
        <f t="shared" si="1"/>
        <v>480.85799999999995</v>
      </c>
      <c r="J36" s="310">
        <f t="shared" si="2"/>
        <v>0</v>
      </c>
      <c r="K36" s="452"/>
      <c r="L36" s="452"/>
      <c r="M36" s="310">
        <f t="shared" si="3"/>
        <v>146.80740454545455</v>
      </c>
      <c r="N36" s="455">
        <f t="shared" si="4"/>
        <v>47.357227272727279</v>
      </c>
      <c r="O36" s="207">
        <v>112.9</v>
      </c>
      <c r="P36" s="310">
        <v>15.99</v>
      </c>
      <c r="Q36" s="452"/>
      <c r="R36" s="452">
        <v>91.08</v>
      </c>
      <c r="S36" s="452">
        <v>17.03</v>
      </c>
      <c r="T36" s="452"/>
      <c r="U36" s="452"/>
      <c r="V36" s="452"/>
      <c r="W36" s="452"/>
      <c r="X36" s="310">
        <v>62.37</v>
      </c>
      <c r="Y36" s="452"/>
      <c r="Z36" s="310">
        <v>58.53</v>
      </c>
      <c r="AA36" s="452"/>
      <c r="AB36" s="452"/>
    </row>
    <row r="37" spans="1:28">
      <c r="A37" s="452">
        <v>1</v>
      </c>
      <c r="B37" s="452" t="s">
        <v>3866</v>
      </c>
      <c r="C37" s="435" t="s">
        <v>3844</v>
      </c>
      <c r="D37" s="435" t="s">
        <v>3850</v>
      </c>
      <c r="E37" s="452" t="str">
        <f t="shared" si="0"/>
        <v>São Sebastião do ParaísoVIGILANTE ARMADO - 12X36 NOTURNO</v>
      </c>
      <c r="F37" s="452">
        <v>0</v>
      </c>
      <c r="G37" s="310">
        <v>1602.86</v>
      </c>
      <c r="H37" s="452"/>
      <c r="I37" s="455">
        <f t="shared" si="1"/>
        <v>480.85799999999995</v>
      </c>
      <c r="J37" s="310">
        <f t="shared" si="2"/>
        <v>411.06073272727275</v>
      </c>
      <c r="K37" s="452"/>
      <c r="L37" s="452"/>
      <c r="M37" s="310">
        <f t="shared" si="3"/>
        <v>175.76850162396693</v>
      </c>
      <c r="N37" s="455">
        <f t="shared" si="4"/>
        <v>47.357227272727279</v>
      </c>
      <c r="O37" s="207">
        <v>112.9</v>
      </c>
      <c r="P37" s="310">
        <v>15.99</v>
      </c>
      <c r="Q37" s="452"/>
      <c r="R37" s="452">
        <v>91.08</v>
      </c>
      <c r="S37" s="452">
        <v>17.03</v>
      </c>
      <c r="T37" s="452"/>
      <c r="U37" s="452"/>
      <c r="V37" s="452"/>
      <c r="W37" s="452"/>
      <c r="X37" s="310">
        <v>62.37</v>
      </c>
      <c r="Y37" s="452"/>
      <c r="Z37" s="310">
        <v>58.53</v>
      </c>
      <c r="AA37" s="452"/>
      <c r="AB37" s="452"/>
    </row>
    <row r="38" spans="1:28">
      <c r="A38" s="452">
        <v>1</v>
      </c>
      <c r="B38" s="452" t="s">
        <v>3866</v>
      </c>
      <c r="C38" s="435" t="s">
        <v>3279</v>
      </c>
      <c r="D38" s="435" t="s">
        <v>3848</v>
      </c>
      <c r="E38" s="452" t="str">
        <f t="shared" si="0"/>
        <v>Sete LagoasVIGILANTE ARMADO - 12X36 DIURNO</v>
      </c>
      <c r="F38" s="452">
        <v>2</v>
      </c>
      <c r="G38" s="310">
        <v>1602.86</v>
      </c>
      <c r="H38" s="452"/>
      <c r="I38" s="455">
        <f t="shared" si="1"/>
        <v>480.85799999999995</v>
      </c>
      <c r="J38" s="310">
        <f t="shared" si="2"/>
        <v>0</v>
      </c>
      <c r="K38" s="452"/>
      <c r="L38" s="452"/>
      <c r="M38" s="310">
        <f t="shared" si="3"/>
        <v>146.80740454545455</v>
      </c>
      <c r="N38" s="455">
        <f t="shared" si="4"/>
        <v>47.357227272727279</v>
      </c>
      <c r="O38" s="207">
        <v>112.9</v>
      </c>
      <c r="P38" s="310">
        <v>15.99</v>
      </c>
      <c r="Q38" s="452"/>
      <c r="R38" s="452">
        <v>91.08</v>
      </c>
      <c r="S38" s="452">
        <v>17.03</v>
      </c>
      <c r="T38" s="452"/>
      <c r="U38" s="452"/>
      <c r="V38" s="452"/>
      <c r="W38" s="452"/>
      <c r="X38" s="310">
        <v>62.37</v>
      </c>
      <c r="Y38" s="452"/>
      <c r="Z38" s="310">
        <v>58.53</v>
      </c>
      <c r="AA38" s="452"/>
      <c r="AB38" s="452"/>
    </row>
    <row r="39" spans="1:28">
      <c r="A39" s="452">
        <v>1</v>
      </c>
      <c r="B39" s="452" t="s">
        <v>3866</v>
      </c>
      <c r="C39" s="435" t="s">
        <v>3283</v>
      </c>
      <c r="D39" s="435" t="s">
        <v>3848</v>
      </c>
      <c r="E39" s="452" t="str">
        <f t="shared" si="0"/>
        <v>UberabaVIGILANTE ARMADO - 12X36 DIURNO</v>
      </c>
      <c r="F39" s="452">
        <v>2</v>
      </c>
      <c r="G39" s="310">
        <v>1602.86</v>
      </c>
      <c r="H39" s="452"/>
      <c r="I39" s="455">
        <f t="shared" si="1"/>
        <v>480.85799999999995</v>
      </c>
      <c r="J39" s="310">
        <f t="shared" si="2"/>
        <v>0</v>
      </c>
      <c r="K39" s="452"/>
      <c r="L39" s="452"/>
      <c r="M39" s="310">
        <f t="shared" si="3"/>
        <v>146.80740454545455</v>
      </c>
      <c r="N39" s="455">
        <f t="shared" si="4"/>
        <v>47.357227272727279</v>
      </c>
      <c r="O39" s="207">
        <v>112.9</v>
      </c>
      <c r="P39" s="310">
        <v>15.99</v>
      </c>
      <c r="Q39" s="452"/>
      <c r="R39" s="452">
        <v>91.08</v>
      </c>
      <c r="S39" s="452">
        <v>17.03</v>
      </c>
      <c r="T39" s="452"/>
      <c r="U39" s="452"/>
      <c r="V39" s="452"/>
      <c r="W39" s="452"/>
      <c r="X39" s="310">
        <v>62.37</v>
      </c>
      <c r="Y39" s="452"/>
      <c r="Z39" s="310">
        <v>58.53</v>
      </c>
      <c r="AA39" s="452"/>
      <c r="AB39" s="452"/>
    </row>
    <row r="40" spans="1:28">
      <c r="A40" s="452">
        <v>1</v>
      </c>
      <c r="B40" s="452" t="s">
        <v>3866</v>
      </c>
      <c r="C40" s="435" t="s">
        <v>3283</v>
      </c>
      <c r="D40" s="435" t="s">
        <v>3850</v>
      </c>
      <c r="E40" s="452" t="str">
        <f t="shared" si="0"/>
        <v>UberabaVIGILANTE ARMADO - 12X36 NOTURNO</v>
      </c>
      <c r="F40" s="452">
        <v>2</v>
      </c>
      <c r="G40" s="310">
        <v>1602.86</v>
      </c>
      <c r="H40" s="452"/>
      <c r="I40" s="455">
        <f t="shared" si="1"/>
        <v>480.85799999999995</v>
      </c>
      <c r="J40" s="310">
        <f t="shared" si="2"/>
        <v>411.06073272727275</v>
      </c>
      <c r="K40" s="452"/>
      <c r="L40" s="452"/>
      <c r="M40" s="310">
        <f t="shared" si="3"/>
        <v>175.76850162396693</v>
      </c>
      <c r="N40" s="455">
        <f t="shared" si="4"/>
        <v>47.357227272727279</v>
      </c>
      <c r="O40" s="207">
        <v>112.9</v>
      </c>
      <c r="P40" s="310">
        <v>15.99</v>
      </c>
      <c r="Q40" s="452"/>
      <c r="R40" s="452">
        <v>91.08</v>
      </c>
      <c r="S40" s="452">
        <v>17.03</v>
      </c>
      <c r="T40" s="452"/>
      <c r="U40" s="452"/>
      <c r="V40" s="452"/>
      <c r="W40" s="452"/>
      <c r="X40" s="310">
        <v>62.37</v>
      </c>
      <c r="Y40" s="452"/>
      <c r="Z40" s="310">
        <v>58.53</v>
      </c>
      <c r="AA40" s="452"/>
      <c r="AB40" s="452"/>
    </row>
    <row r="41" spans="1:28">
      <c r="A41" s="452">
        <v>1</v>
      </c>
      <c r="B41" s="452" t="s">
        <v>3866</v>
      </c>
      <c r="C41" s="435" t="s">
        <v>3845</v>
      </c>
      <c r="D41" s="435" t="s">
        <v>3848</v>
      </c>
      <c r="E41" s="452" t="str">
        <f t="shared" si="0"/>
        <v>UberlândiaVIGILANTE ARMADO - 12X36 DIURNO</v>
      </c>
      <c r="F41" s="452">
        <v>2</v>
      </c>
      <c r="G41" s="310">
        <v>1602.86</v>
      </c>
      <c r="H41" s="452"/>
      <c r="I41" s="455">
        <f t="shared" si="1"/>
        <v>480.85799999999995</v>
      </c>
      <c r="J41" s="310">
        <f t="shared" si="2"/>
        <v>0</v>
      </c>
      <c r="K41" s="452"/>
      <c r="L41" s="452"/>
      <c r="M41" s="310">
        <f t="shared" si="3"/>
        <v>146.80740454545455</v>
      </c>
      <c r="N41" s="455">
        <f t="shared" si="4"/>
        <v>47.357227272727279</v>
      </c>
      <c r="O41" s="207">
        <v>112.9</v>
      </c>
      <c r="P41" s="310">
        <v>15.99</v>
      </c>
      <c r="Q41" s="452"/>
      <c r="R41" s="452">
        <v>91.08</v>
      </c>
      <c r="S41" s="452">
        <v>17.03</v>
      </c>
      <c r="T41" s="452"/>
      <c r="U41" s="452"/>
      <c r="V41" s="452"/>
      <c r="W41" s="452"/>
      <c r="X41" s="310">
        <v>62.37</v>
      </c>
      <c r="Y41" s="452"/>
      <c r="Z41" s="310">
        <v>58.53</v>
      </c>
      <c r="AA41" s="452"/>
      <c r="AB41" s="452"/>
    </row>
    <row r="42" spans="1:28">
      <c r="A42" s="452">
        <v>1</v>
      </c>
      <c r="B42" s="452" t="s">
        <v>3866</v>
      </c>
      <c r="C42" s="435" t="s">
        <v>3845</v>
      </c>
      <c r="D42" s="435" t="s">
        <v>3850</v>
      </c>
      <c r="E42" s="452" t="str">
        <f t="shared" si="0"/>
        <v>UberlândiaVIGILANTE ARMADO - 12X36 NOTURNO</v>
      </c>
      <c r="F42" s="452">
        <v>4</v>
      </c>
      <c r="G42" s="310">
        <v>1602.86</v>
      </c>
      <c r="H42" s="452"/>
      <c r="I42" s="455">
        <f t="shared" si="1"/>
        <v>480.85799999999995</v>
      </c>
      <c r="J42" s="310">
        <f t="shared" si="2"/>
        <v>411.06073272727275</v>
      </c>
      <c r="K42" s="452"/>
      <c r="L42" s="452"/>
      <c r="M42" s="310">
        <f t="shared" si="3"/>
        <v>175.76850162396693</v>
      </c>
      <c r="N42" s="455">
        <f t="shared" si="4"/>
        <v>47.357227272727279</v>
      </c>
      <c r="O42" s="207">
        <v>112.9</v>
      </c>
      <c r="P42" s="310">
        <v>15.99</v>
      </c>
      <c r="Q42" s="452"/>
      <c r="R42" s="452">
        <v>91.08</v>
      </c>
      <c r="S42" s="452">
        <v>17.03</v>
      </c>
      <c r="T42" s="452"/>
      <c r="U42" s="452"/>
      <c r="V42" s="452"/>
      <c r="W42" s="452"/>
      <c r="X42" s="310">
        <v>62.37</v>
      </c>
      <c r="Y42" s="452"/>
      <c r="Z42" s="310">
        <v>58.53</v>
      </c>
      <c r="AA42" s="452"/>
      <c r="AB42" s="452"/>
    </row>
    <row r="43" spans="1:28">
      <c r="A43" s="452">
        <v>1</v>
      </c>
      <c r="B43" s="452" t="s">
        <v>3866</v>
      </c>
      <c r="C43" s="435" t="s">
        <v>3846</v>
      </c>
      <c r="D43" s="435" t="s">
        <v>3849</v>
      </c>
      <c r="E43" s="452" t="str">
        <f t="shared" si="0"/>
        <v>VarginhaVIGILANTE ARMADO - 220 H</v>
      </c>
      <c r="F43" s="452">
        <v>1</v>
      </c>
      <c r="G43" s="310">
        <v>1602.86</v>
      </c>
      <c r="H43" s="452"/>
      <c r="I43" s="455">
        <f t="shared" si="1"/>
        <v>480.85799999999995</v>
      </c>
      <c r="J43" s="310">
        <f t="shared" si="2"/>
        <v>0</v>
      </c>
      <c r="K43" s="452"/>
      <c r="L43" s="452"/>
      <c r="M43" s="310">
        <f t="shared" si="3"/>
        <v>189.42890909090909</v>
      </c>
      <c r="N43" s="455">
        <f t="shared" si="4"/>
        <v>13.891453333333336</v>
      </c>
      <c r="O43" s="207">
        <v>112.9</v>
      </c>
      <c r="P43" s="310">
        <v>15.99</v>
      </c>
      <c r="Q43" s="452"/>
      <c r="R43" s="452">
        <v>91.08</v>
      </c>
      <c r="S43" s="452">
        <v>17.03</v>
      </c>
      <c r="T43" s="452"/>
      <c r="U43" s="452"/>
      <c r="V43" s="452"/>
      <c r="W43" s="452"/>
      <c r="X43" s="310">
        <v>62.37</v>
      </c>
      <c r="Y43" s="452"/>
      <c r="Z43" s="310">
        <v>58.53</v>
      </c>
      <c r="AA43" s="452"/>
      <c r="AB43" s="452"/>
    </row>
    <row r="44" spans="1:28">
      <c r="A44" s="452">
        <v>1</v>
      </c>
      <c r="B44" s="452" t="s">
        <v>3866</v>
      </c>
      <c r="C44" s="435" t="s">
        <v>3286</v>
      </c>
      <c r="D44" s="435" t="s">
        <v>3848</v>
      </c>
      <c r="E44" s="452" t="str">
        <f t="shared" si="0"/>
        <v>VespasianoVIGILANTE ARMADO - 12X36 DIURNO</v>
      </c>
      <c r="F44" s="452">
        <v>2</v>
      </c>
      <c r="G44" s="310">
        <v>1602.86</v>
      </c>
      <c r="H44" s="452"/>
      <c r="I44" s="455">
        <f t="shared" si="1"/>
        <v>480.85799999999995</v>
      </c>
      <c r="J44" s="310">
        <f t="shared" si="2"/>
        <v>0</v>
      </c>
      <c r="K44" s="452"/>
      <c r="L44" s="452"/>
      <c r="M44" s="310">
        <f t="shared" si="3"/>
        <v>146.80740454545455</v>
      </c>
      <c r="N44" s="455">
        <f t="shared" si="4"/>
        <v>47.357227272727279</v>
      </c>
      <c r="O44" s="207">
        <v>112.9</v>
      </c>
      <c r="P44" s="310">
        <v>15.99</v>
      </c>
      <c r="Q44" s="452"/>
      <c r="R44" s="452">
        <v>91.08</v>
      </c>
      <c r="S44" s="452">
        <v>17.03</v>
      </c>
      <c r="T44" s="452"/>
      <c r="U44" s="452"/>
      <c r="V44" s="452"/>
      <c r="W44" s="452"/>
      <c r="X44" s="310">
        <v>62.37</v>
      </c>
      <c r="Y44" s="452"/>
      <c r="Z44" s="310">
        <v>58.53</v>
      </c>
      <c r="AA44" s="452"/>
      <c r="AB44" s="452"/>
    </row>
    <row r="45" spans="1:28">
      <c r="A45" s="452">
        <v>1</v>
      </c>
      <c r="B45" s="452" t="s">
        <v>3866</v>
      </c>
      <c r="C45" s="435" t="s">
        <v>3847</v>
      </c>
      <c r="D45" s="435" t="s">
        <v>3848</v>
      </c>
      <c r="E45" s="452" t="str">
        <f t="shared" si="0"/>
        <v>ViçosaVIGILANTE ARMADO - 12X36 DIURNO</v>
      </c>
      <c r="F45" s="452">
        <v>2</v>
      </c>
      <c r="G45" s="310">
        <v>1602.86</v>
      </c>
      <c r="H45" s="452"/>
      <c r="I45" s="455">
        <f t="shared" si="1"/>
        <v>480.85799999999995</v>
      </c>
      <c r="J45" s="310">
        <f t="shared" si="2"/>
        <v>0</v>
      </c>
      <c r="K45" s="452"/>
      <c r="L45" s="452"/>
      <c r="M45" s="310">
        <f t="shared" si="3"/>
        <v>146.80740454545455</v>
      </c>
      <c r="N45" s="455">
        <f t="shared" si="4"/>
        <v>47.357227272727279</v>
      </c>
      <c r="O45" s="207">
        <v>112.9</v>
      </c>
      <c r="P45" s="310">
        <v>15.99</v>
      </c>
      <c r="Q45" s="452"/>
      <c r="R45" s="452">
        <v>91.08</v>
      </c>
      <c r="S45" s="452">
        <v>17.03</v>
      </c>
      <c r="T45" s="452"/>
      <c r="U45" s="452"/>
      <c r="V45" s="452"/>
      <c r="W45" s="452"/>
      <c r="X45" s="310">
        <v>62.37</v>
      </c>
      <c r="Y45" s="452"/>
      <c r="Z45" s="310">
        <v>58.53</v>
      </c>
      <c r="AA45" s="452"/>
      <c r="AB45" s="452"/>
    </row>
  </sheetData>
  <sheetProtection algorithmName="SHA-512" hashValue="iYG3J0w96/qaZnMg1eomQDa//VTFgnZDXz8yCzujiCJb/3q0OQFNFbC8jJ8sAJgOOy2a+J2rD+62ybtt5Ru7kw==" saltValue="V/60ch8iLBHaKG9WiXIjLw==" spinCount="100000" sheet="1" objects="1" scenarios="1"/>
  <pageMargins left="0.511811024" right="0.511811024" top="0.78740157499999996" bottom="0.78740157499999996" header="0.31496062000000002" footer="0.31496062000000002"/>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workbookViewId="0">
      <selection activeCell="B2" sqref="B2"/>
    </sheetView>
  </sheetViews>
  <sheetFormatPr defaultRowHeight="12.75"/>
  <cols>
    <col min="1" max="1" width="28.7109375" customWidth="1"/>
    <col min="2" max="2" width="12.5703125" customWidth="1"/>
  </cols>
  <sheetData>
    <row r="1" spans="1:2" ht="13.5" thickBot="1"/>
    <row r="2" spans="1:2" ht="13.5" thickBot="1">
      <c r="A2" s="569" t="s">
        <v>4051</v>
      </c>
      <c r="B2" s="570" t="s">
        <v>4052</v>
      </c>
    </row>
    <row r="3" spans="1:2">
      <c r="A3" s="571" t="s">
        <v>3867</v>
      </c>
      <c r="B3" s="572">
        <v>0.03</v>
      </c>
    </row>
    <row r="4" spans="1:2">
      <c r="A4" s="571" t="s">
        <v>3832</v>
      </c>
      <c r="B4" s="572">
        <v>0.02</v>
      </c>
    </row>
    <row r="5" spans="1:2">
      <c r="A5" s="571" t="s">
        <v>3244</v>
      </c>
      <c r="B5" s="572">
        <v>3.5000000000000003E-2</v>
      </c>
    </row>
    <row r="6" spans="1:2">
      <c r="A6" s="571" t="s">
        <v>3287</v>
      </c>
      <c r="B6" s="572">
        <v>0.05</v>
      </c>
    </row>
    <row r="7" spans="1:2">
      <c r="A7" s="571" t="s">
        <v>3246</v>
      </c>
      <c r="B7" s="572">
        <v>2.5000000000000001E-2</v>
      </c>
    </row>
    <row r="8" spans="1:2">
      <c r="A8" s="571" t="s">
        <v>3833</v>
      </c>
      <c r="B8" s="573">
        <v>0.02</v>
      </c>
    </row>
    <row r="9" spans="1:2">
      <c r="A9" s="574" t="s">
        <v>3834</v>
      </c>
      <c r="B9" s="573">
        <v>0.03</v>
      </c>
    </row>
    <row r="10" spans="1:2">
      <c r="A10" s="574" t="s">
        <v>3250</v>
      </c>
      <c r="B10" s="573">
        <v>0.03</v>
      </c>
    </row>
    <row r="11" spans="1:2">
      <c r="A11" s="571" t="s">
        <v>3252</v>
      </c>
      <c r="B11" s="573">
        <v>3.5000000000000003E-2</v>
      </c>
    </row>
    <row r="12" spans="1:2">
      <c r="A12" s="571" t="s">
        <v>3835</v>
      </c>
      <c r="B12" s="572">
        <v>0.02</v>
      </c>
    </row>
    <row r="13" spans="1:2">
      <c r="A13" s="571" t="s">
        <v>3257</v>
      </c>
      <c r="B13" s="572">
        <v>0.05</v>
      </c>
    </row>
    <row r="14" spans="1:2">
      <c r="A14" s="571" t="s">
        <v>3836</v>
      </c>
      <c r="B14" s="572">
        <v>0.05</v>
      </c>
    </row>
    <row r="15" spans="1:2">
      <c r="A15" s="571" t="s">
        <v>3837</v>
      </c>
      <c r="B15" s="572">
        <v>0.03</v>
      </c>
    </row>
    <row r="16" spans="1:2">
      <c r="A16" s="571" t="s">
        <v>3259</v>
      </c>
      <c r="B16" s="572">
        <v>0.04</v>
      </c>
    </row>
    <row r="17" spans="1:2">
      <c r="A17" s="571" t="s">
        <v>3263</v>
      </c>
      <c r="B17" s="572">
        <v>0.05</v>
      </c>
    </row>
    <row r="18" spans="1:2">
      <c r="A18" s="571" t="s">
        <v>3838</v>
      </c>
      <c r="B18" s="573">
        <v>0.02</v>
      </c>
    </row>
    <row r="19" spans="1:2">
      <c r="A19" s="571" t="s">
        <v>3839</v>
      </c>
      <c r="B19" s="573">
        <v>0.03</v>
      </c>
    </row>
    <row r="20" spans="1:2">
      <c r="A20" s="571" t="s">
        <v>3265</v>
      </c>
      <c r="B20" s="573">
        <v>0.04</v>
      </c>
    </row>
    <row r="21" spans="1:2">
      <c r="A21" s="574" t="s">
        <v>3267</v>
      </c>
      <c r="B21" s="573">
        <v>0.02</v>
      </c>
    </row>
    <row r="22" spans="1:2">
      <c r="A22" s="571" t="s">
        <v>4053</v>
      </c>
      <c r="B22" s="573">
        <v>2.5000000000000001E-2</v>
      </c>
    </row>
    <row r="23" spans="1:2">
      <c r="A23" s="571" t="s">
        <v>3840</v>
      </c>
      <c r="B23" s="573">
        <v>0.03</v>
      </c>
    </row>
    <row r="24" spans="1:2">
      <c r="A24" s="571" t="s">
        <v>3274</v>
      </c>
      <c r="B24" s="573">
        <v>0.02</v>
      </c>
    </row>
    <row r="25" spans="1:2">
      <c r="A25" s="571" t="s">
        <v>3841</v>
      </c>
      <c r="B25" s="573">
        <v>0.02</v>
      </c>
    </row>
    <row r="26" spans="1:2">
      <c r="A26" s="571" t="s">
        <v>3277</v>
      </c>
      <c r="B26" s="573">
        <v>0.02</v>
      </c>
    </row>
    <row r="27" spans="1:2">
      <c r="A27" s="571" t="s">
        <v>3842</v>
      </c>
      <c r="B27" s="573">
        <v>0.05</v>
      </c>
    </row>
    <row r="28" spans="1:2">
      <c r="A28" s="571" t="s">
        <v>3843</v>
      </c>
      <c r="B28" s="573">
        <v>0.03</v>
      </c>
    </row>
    <row r="29" spans="1:2">
      <c r="A29" s="571" t="s">
        <v>3844</v>
      </c>
      <c r="B29" s="573">
        <v>0.03</v>
      </c>
    </row>
    <row r="30" spans="1:2">
      <c r="A30" s="571" t="s">
        <v>3279</v>
      </c>
      <c r="B30" s="573">
        <v>0.05</v>
      </c>
    </row>
    <row r="31" spans="1:2">
      <c r="A31" s="571" t="s">
        <v>3283</v>
      </c>
      <c r="B31" s="573">
        <v>0.05</v>
      </c>
    </row>
    <row r="32" spans="1:2">
      <c r="A32" s="571" t="s">
        <v>3845</v>
      </c>
      <c r="B32" s="573">
        <v>0.02</v>
      </c>
    </row>
    <row r="33" spans="1:2">
      <c r="A33" s="571" t="s">
        <v>3846</v>
      </c>
      <c r="B33" s="573">
        <v>0.03</v>
      </c>
    </row>
    <row r="34" spans="1:2">
      <c r="A34" s="571" t="s">
        <v>3286</v>
      </c>
      <c r="B34" s="573">
        <v>0.03</v>
      </c>
    </row>
    <row r="35" spans="1:2">
      <c r="A35" s="571" t="s">
        <v>3847</v>
      </c>
      <c r="B35" s="573">
        <v>0.02</v>
      </c>
    </row>
    <row r="36" spans="1:2" ht="13.5" thickBot="1">
      <c r="A36" s="575"/>
      <c r="B36" s="576"/>
    </row>
  </sheetData>
  <sheetProtection algorithmName="SHA-512" hashValue="YsMfKSQWZOTTZrBZBANwGa9qNihvJlEklb1Z6iR9tfKibvteDJMm/R18tLifn6B7LctmE1S8zLqR3NALpxpqZQ==" saltValue="xdHsPkYfDw0AOp/QCB0kXg==" spinCount="100000" sheet="1" objects="1" scenarios="1"/>
  <dataValidations count="1">
    <dataValidation type="list" allowBlank="1" showInputMessage="1" showErrorMessage="1" sqref="A5">
      <formula1>cidades</formula1>
    </dataValidation>
  </dataValidation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0"/>
  <dimension ref="B3:F37"/>
  <sheetViews>
    <sheetView showGridLines="0" topLeftCell="A4" workbookViewId="0">
      <selection activeCell="F16" sqref="F16"/>
    </sheetView>
  </sheetViews>
  <sheetFormatPr defaultRowHeight="12.75"/>
  <cols>
    <col min="2" max="2" width="27.7109375" customWidth="1"/>
    <col min="3" max="3" width="17.7109375" customWidth="1"/>
    <col min="4" max="4" width="18" customWidth="1"/>
    <col min="5" max="5" width="19" customWidth="1"/>
    <col min="6" max="6" width="13.140625" customWidth="1"/>
  </cols>
  <sheetData>
    <row r="3" spans="2:6" ht="20.25">
      <c r="B3" s="702" t="s">
        <v>3418</v>
      </c>
      <c r="C3" s="702"/>
      <c r="D3" s="702"/>
      <c r="E3" s="702"/>
      <c r="F3" s="702"/>
    </row>
    <row r="4" spans="2:6">
      <c r="B4" s="299" t="s">
        <v>3137</v>
      </c>
      <c r="C4" s="299" t="s">
        <v>3524</v>
      </c>
    </row>
    <row r="5" spans="2:6">
      <c r="B5" s="299" t="s">
        <v>3419</v>
      </c>
      <c r="C5" s="299" t="s">
        <v>3525</v>
      </c>
    </row>
    <row r="6" spans="2:6">
      <c r="B6" s="299" t="s">
        <v>3420</v>
      </c>
      <c r="C6" s="299" t="s">
        <v>3163</v>
      </c>
    </row>
    <row r="8" spans="2:6" s="305" customFormat="1" ht="38.25">
      <c r="B8" s="308" t="s">
        <v>3292</v>
      </c>
      <c r="C8" s="308" t="s">
        <v>3422</v>
      </c>
      <c r="D8" s="308" t="s">
        <v>3421</v>
      </c>
      <c r="E8" s="309" t="s">
        <v>3433</v>
      </c>
      <c r="F8" s="308" t="s">
        <v>3432</v>
      </c>
    </row>
    <row r="9" spans="2:6">
      <c r="B9" s="297" t="str">
        <f>'Parametro e CCT'!A28</f>
        <v>Belo Horizonte</v>
      </c>
      <c r="C9" s="296" t="e">
        <f>'BANCO DADOS-CUSTO TOTAL'!#REF!</f>
        <v>#REF!</v>
      </c>
      <c r="D9" s="296" t="e">
        <f>'BANCO DADOS-CUSTO TOTAL'!#REF!</f>
        <v>#REF!</v>
      </c>
      <c r="E9" s="306" t="e">
        <f>C9+D9</f>
        <v>#REF!</v>
      </c>
      <c r="F9" s="310"/>
    </row>
    <row r="10" spans="2:6">
      <c r="B10" s="297" t="str">
        <f>'Parametro e CCT'!A2</f>
        <v>Barbacena</v>
      </c>
      <c r="C10" s="296" t="e">
        <f>'BANCO DADOS-CUSTO TOTAL'!#REF!</f>
        <v>#REF!</v>
      </c>
      <c r="D10" s="296" t="e">
        <f>'BANCO DADOS-CUSTO TOTAL'!#REF!</f>
        <v>#REF!</v>
      </c>
      <c r="E10" s="306" t="e">
        <f t="shared" ref="E10:E35" si="0">C10+D10</f>
        <v>#REF!</v>
      </c>
      <c r="F10" s="310"/>
    </row>
    <row r="11" spans="2:6">
      <c r="B11" s="297" t="str">
        <f>'Parametro e CCT'!A3</f>
        <v>Betim</v>
      </c>
      <c r="C11" s="296" t="e">
        <f>'BANCO DADOS-CUSTO TOTAL'!#REF!</f>
        <v>#REF!</v>
      </c>
      <c r="D11" s="296" t="e">
        <f>'BANCO DADOS-CUSTO TOTAL'!#REF!</f>
        <v>#REF!</v>
      </c>
      <c r="E11" s="306" t="e">
        <f t="shared" si="0"/>
        <v>#REF!</v>
      </c>
      <c r="F11" s="310"/>
    </row>
    <row r="12" spans="2:6">
      <c r="B12" s="297" t="str">
        <f>'Parametro e CCT'!A4</f>
        <v>Caratinga</v>
      </c>
      <c r="C12" s="296" t="e">
        <f>'BANCO DADOS-CUSTO TOTAL'!#REF!</f>
        <v>#REF!</v>
      </c>
      <c r="D12" s="296" t="e">
        <f>'BANCO DADOS-CUSTO TOTAL'!#REF!</f>
        <v>#REF!</v>
      </c>
      <c r="E12" s="306" t="e">
        <f t="shared" si="0"/>
        <v>#REF!</v>
      </c>
      <c r="F12" s="310"/>
    </row>
    <row r="13" spans="2:6">
      <c r="B13" s="297" t="str">
        <f>'Parametro e CCT'!A5</f>
        <v>Conselheiro Lafaiete</v>
      </c>
      <c r="C13" s="296" t="e">
        <f>'BANCO DADOS-CUSTO TOTAL'!#REF!</f>
        <v>#REF!</v>
      </c>
      <c r="D13" s="296" t="e">
        <f>'BANCO DADOS-CUSTO TOTAL'!#REF!</f>
        <v>#REF!</v>
      </c>
      <c r="E13" s="306" t="e">
        <f t="shared" si="0"/>
        <v>#REF!</v>
      </c>
      <c r="F13" s="310"/>
    </row>
    <row r="14" spans="2:6">
      <c r="B14" s="297" t="str">
        <f>'Parametro e CCT'!A6</f>
        <v>Contagem</v>
      </c>
      <c r="C14" s="296" t="e">
        <f>'BANCO DADOS-CUSTO TOTAL'!#REF!</f>
        <v>#REF!</v>
      </c>
      <c r="D14" s="296" t="e">
        <f>'BANCO DADOS-CUSTO TOTAL'!#REF!</f>
        <v>#REF!</v>
      </c>
      <c r="E14" s="306" t="e">
        <f t="shared" si="0"/>
        <v>#REF!</v>
      </c>
      <c r="F14" s="310"/>
    </row>
    <row r="15" spans="2:6">
      <c r="B15" s="297" t="str">
        <f>'Parametro e CCT'!A7</f>
        <v>Diamantina</v>
      </c>
      <c r="C15" s="296" t="e">
        <f>'BANCO DADOS-CUSTO TOTAL'!#REF!</f>
        <v>#REF!</v>
      </c>
      <c r="D15" s="296" t="e">
        <f>'BANCO DADOS-CUSTO TOTAL'!#REF!</f>
        <v>#REF!</v>
      </c>
      <c r="E15" s="306" t="e">
        <f t="shared" si="0"/>
        <v>#REF!</v>
      </c>
      <c r="F15" s="310"/>
    </row>
    <row r="16" spans="2:6">
      <c r="B16" s="297" t="str">
        <f>'Parametro e CCT'!A8</f>
        <v>Divinopolis</v>
      </c>
      <c r="C16" s="296" t="e">
        <f>'BANCO DADOS-CUSTO TOTAL'!#REF!</f>
        <v>#REF!</v>
      </c>
      <c r="D16" s="296" t="e">
        <f>'BANCO DADOS-CUSTO TOTAL'!#REF!</f>
        <v>#REF!</v>
      </c>
      <c r="E16" s="306" t="e">
        <f t="shared" si="0"/>
        <v>#REF!</v>
      </c>
      <c r="F16" s="310"/>
    </row>
    <row r="17" spans="2:6">
      <c r="B17" s="297" t="str">
        <f>'Parametro e CCT'!A9</f>
        <v>Governador Valadares</v>
      </c>
      <c r="C17" s="296" t="e">
        <f>'BANCO DADOS-CUSTO TOTAL'!#REF!</f>
        <v>#REF!</v>
      </c>
      <c r="D17" s="296" t="e">
        <f>'BANCO DADOS-CUSTO TOTAL'!#REF!</f>
        <v>#REF!</v>
      </c>
      <c r="E17" s="306" t="e">
        <f t="shared" si="0"/>
        <v>#REF!</v>
      </c>
      <c r="F17" s="310"/>
    </row>
    <row r="18" spans="2:6">
      <c r="B18" s="297" t="str">
        <f>'Parametro e CCT'!A10</f>
        <v>Ituiutaba</v>
      </c>
      <c r="C18" s="296" t="e">
        <f>'BANCO DADOS-CUSTO TOTAL'!#REF!</f>
        <v>#REF!</v>
      </c>
      <c r="D18" s="296" t="e">
        <f>'BANCO DADOS-CUSTO TOTAL'!#REF!</f>
        <v>#REF!</v>
      </c>
      <c r="E18" s="306" t="e">
        <f t="shared" si="0"/>
        <v>#REF!</v>
      </c>
      <c r="F18" s="310"/>
    </row>
    <row r="19" spans="2:6">
      <c r="B19" s="297" t="str">
        <f>'Parametro e CCT'!A11</f>
        <v>Juiz de Fora</v>
      </c>
      <c r="C19" s="296" t="e">
        <f>'BANCO DADOS-CUSTO TOTAL'!#REF!</f>
        <v>#REF!</v>
      </c>
      <c r="D19" s="296" t="e">
        <f>'BANCO DADOS-CUSTO TOTAL'!#REF!</f>
        <v>#REF!</v>
      </c>
      <c r="E19" s="306" t="e">
        <f t="shared" si="0"/>
        <v>#REF!</v>
      </c>
      <c r="F19" s="310"/>
    </row>
    <row r="20" spans="2:6">
      <c r="B20" s="297" t="str">
        <f>'Parametro e CCT'!A12</f>
        <v>Lavras</v>
      </c>
      <c r="C20" s="296" t="e">
        <f>'BANCO DADOS-CUSTO TOTAL'!#REF!</f>
        <v>#REF!</v>
      </c>
      <c r="D20" s="296" t="e">
        <f>'BANCO DADOS-CUSTO TOTAL'!#REF!</f>
        <v>#REF!</v>
      </c>
      <c r="E20" s="306" t="e">
        <f t="shared" si="0"/>
        <v>#REF!</v>
      </c>
      <c r="F20" s="310"/>
    </row>
    <row r="21" spans="2:6">
      <c r="B21" s="297" t="str">
        <f>'Parametro e CCT'!A13</f>
        <v>Montes Claros</v>
      </c>
      <c r="C21" s="296" t="e">
        <f>'BANCO DADOS-CUSTO TOTAL'!#REF!</f>
        <v>#REF!</v>
      </c>
      <c r="D21" s="296" t="e">
        <f>'BANCO DADOS-CUSTO TOTAL'!#REF!</f>
        <v>#REF!</v>
      </c>
      <c r="E21" s="306" t="e">
        <f t="shared" si="0"/>
        <v>#REF!</v>
      </c>
      <c r="F21" s="310"/>
    </row>
    <row r="22" spans="2:6">
      <c r="B22" s="297" t="str">
        <f>'Parametro e CCT'!A14</f>
        <v>Nova Lima</v>
      </c>
      <c r="C22" s="296" t="e">
        <f>'BANCO DADOS-CUSTO TOTAL'!#REF!</f>
        <v>#REF!</v>
      </c>
      <c r="D22" s="296" t="e">
        <f>'BANCO DADOS-CUSTO TOTAL'!#REF!</f>
        <v>#REF!</v>
      </c>
      <c r="E22" s="306" t="e">
        <f t="shared" si="0"/>
        <v>#REF!</v>
      </c>
      <c r="F22" s="310"/>
    </row>
    <row r="23" spans="2:6">
      <c r="B23" s="297" t="str">
        <f>'Parametro e CCT'!A15</f>
        <v>Passos</v>
      </c>
      <c r="C23" s="296" t="e">
        <f>'BANCO DADOS-CUSTO TOTAL'!#REF!</f>
        <v>#REF!</v>
      </c>
      <c r="D23" s="296" t="e">
        <f>'BANCO DADOS-CUSTO TOTAL'!#REF!</f>
        <v>#REF!</v>
      </c>
      <c r="E23" s="306" t="e">
        <f t="shared" si="0"/>
        <v>#REF!</v>
      </c>
      <c r="F23" s="310"/>
    </row>
    <row r="24" spans="2:6">
      <c r="B24" s="297" t="str">
        <f>'Parametro e CCT'!A16</f>
        <v>Patos de Minas</v>
      </c>
      <c r="C24" s="296" t="e">
        <f>'BANCO DADOS-CUSTO TOTAL'!#REF!</f>
        <v>#REF!</v>
      </c>
      <c r="D24" s="296" t="e">
        <f>'BANCO DADOS-CUSTO TOTAL'!#REF!</f>
        <v>#REF!</v>
      </c>
      <c r="E24" s="306" t="e">
        <f t="shared" si="0"/>
        <v>#REF!</v>
      </c>
      <c r="F24" s="310"/>
    </row>
    <row r="25" spans="2:6">
      <c r="B25" s="297" t="str">
        <f>'Parametro e CCT'!A17</f>
        <v>Pocos de Caldas</v>
      </c>
      <c r="C25" s="296" t="e">
        <f>'BANCO DADOS-CUSTO TOTAL'!#REF!</f>
        <v>#REF!</v>
      </c>
      <c r="D25" s="296" t="e">
        <f>'BANCO DADOS-CUSTO TOTAL'!#REF!</f>
        <v>#REF!</v>
      </c>
      <c r="E25" s="306" t="e">
        <f t="shared" si="0"/>
        <v>#REF!</v>
      </c>
      <c r="F25" s="310"/>
    </row>
    <row r="26" spans="2:6">
      <c r="B26" s="297" t="str">
        <f>'Parametro e CCT'!A18</f>
        <v>Pouso Alegre</v>
      </c>
      <c r="C26" s="296" t="e">
        <f>'BANCO DADOS-CUSTO TOTAL'!#REF!</f>
        <v>#REF!</v>
      </c>
      <c r="D26" s="296" t="e">
        <f>'BANCO DADOS-CUSTO TOTAL'!#REF!</f>
        <v>#REF!</v>
      </c>
      <c r="E26" s="306" t="e">
        <f t="shared" si="0"/>
        <v>#REF!</v>
      </c>
      <c r="F26" s="310"/>
    </row>
    <row r="27" spans="2:6">
      <c r="B27" s="297" t="str">
        <f>'Parametro e CCT'!A19</f>
        <v>Ribeirao das Neves</v>
      </c>
      <c r="C27" s="296" t="e">
        <f>'BANCO DADOS-CUSTO TOTAL'!#REF!</f>
        <v>#REF!</v>
      </c>
      <c r="D27" s="296" t="e">
        <f>'BANCO DADOS-CUSTO TOTAL'!#REF!</f>
        <v>#REF!</v>
      </c>
      <c r="E27" s="306" t="e">
        <f t="shared" si="0"/>
        <v>#REF!</v>
      </c>
      <c r="F27" s="310"/>
    </row>
    <row r="28" spans="2:6">
      <c r="B28" s="297" t="str">
        <f>'Parametro e CCT'!A20</f>
        <v>Santa Luzia</v>
      </c>
      <c r="C28" s="296" t="e">
        <f>'BANCO DADOS-CUSTO TOTAL'!#REF!</f>
        <v>#REF!</v>
      </c>
      <c r="D28" s="296" t="e">
        <f>'BANCO DADOS-CUSTO TOTAL'!#REF!</f>
        <v>#REF!</v>
      </c>
      <c r="E28" s="306" t="e">
        <f t="shared" si="0"/>
        <v>#REF!</v>
      </c>
      <c r="F28" s="310"/>
    </row>
    <row r="29" spans="2:6">
      <c r="B29" s="297" t="str">
        <f>'Parametro e CCT'!A21</f>
        <v>Sao Joao Del Rei</v>
      </c>
      <c r="C29" s="296" t="e">
        <f>'BANCO DADOS-CUSTO TOTAL'!#REF!</f>
        <v>#REF!</v>
      </c>
      <c r="D29" s="296" t="e">
        <f>'BANCO DADOS-CUSTO TOTAL'!#REF!</f>
        <v>#REF!</v>
      </c>
      <c r="E29" s="306" t="e">
        <f t="shared" si="0"/>
        <v>#REF!</v>
      </c>
      <c r="F29" s="310"/>
    </row>
    <row r="30" spans="2:6">
      <c r="B30" s="297" t="str">
        <f>'Parametro e CCT'!A22</f>
        <v>Sete Lagoas</v>
      </c>
      <c r="C30" s="296" t="e">
        <f>'BANCO DADOS-CUSTO TOTAL'!#REF!</f>
        <v>#REF!</v>
      </c>
      <c r="D30" s="296" t="e">
        <f>'BANCO DADOS-CUSTO TOTAL'!#REF!</f>
        <v>#REF!</v>
      </c>
      <c r="E30" s="306" t="e">
        <f t="shared" si="0"/>
        <v>#REF!</v>
      </c>
      <c r="F30" s="310"/>
    </row>
    <row r="31" spans="2:6">
      <c r="B31" s="297" t="str">
        <f>'Parametro e CCT'!A23</f>
        <v>Teofilo Otoni</v>
      </c>
      <c r="C31" s="296" t="e">
        <f>'BANCO DADOS-CUSTO TOTAL'!#REF!</f>
        <v>#REF!</v>
      </c>
      <c r="D31" s="296" t="e">
        <f>'BANCO DADOS-CUSTO TOTAL'!#REF!</f>
        <v>#REF!</v>
      </c>
      <c r="E31" s="306" t="e">
        <f t="shared" si="0"/>
        <v>#REF!</v>
      </c>
      <c r="F31" s="310"/>
    </row>
    <row r="32" spans="2:6">
      <c r="B32" s="297" t="str">
        <f>'Parametro e CCT'!A24</f>
        <v>Uba</v>
      </c>
      <c r="C32" s="296" t="e">
        <f>'BANCO DADOS-CUSTO TOTAL'!#REF!</f>
        <v>#REF!</v>
      </c>
      <c r="D32" s="296" t="e">
        <f>'BANCO DADOS-CUSTO TOTAL'!#REF!</f>
        <v>#REF!</v>
      </c>
      <c r="E32" s="306" t="e">
        <f t="shared" si="0"/>
        <v>#REF!</v>
      </c>
      <c r="F32" s="310"/>
    </row>
    <row r="33" spans="2:6">
      <c r="B33" s="297" t="str">
        <f>'Parametro e CCT'!A25</f>
        <v>Uberaba</v>
      </c>
      <c r="C33" s="296" t="e">
        <f>'BANCO DADOS-CUSTO TOTAL'!#REF!</f>
        <v>#REF!</v>
      </c>
      <c r="D33" s="296" t="e">
        <f>'BANCO DADOS-CUSTO TOTAL'!#REF!</f>
        <v>#REF!</v>
      </c>
      <c r="E33" s="306" t="e">
        <f t="shared" si="0"/>
        <v>#REF!</v>
      </c>
      <c r="F33" s="310"/>
    </row>
    <row r="34" spans="2:6">
      <c r="B34" s="297" t="str">
        <f>'Parametro e CCT'!A26</f>
        <v>Uberlandia</v>
      </c>
      <c r="C34" s="296" t="e">
        <f>'BANCO DADOS-CUSTO TOTAL'!#REF!</f>
        <v>#REF!</v>
      </c>
      <c r="D34" s="296" t="e">
        <f>'BANCO DADOS-CUSTO TOTAL'!#REF!</f>
        <v>#REF!</v>
      </c>
      <c r="E34" s="306" t="e">
        <f t="shared" si="0"/>
        <v>#REF!</v>
      </c>
      <c r="F34" s="310"/>
    </row>
    <row r="35" spans="2:6">
      <c r="B35" s="297" t="str">
        <f>'Parametro e CCT'!A27</f>
        <v>Vespasiano</v>
      </c>
      <c r="C35" s="296" t="e">
        <f>'BANCO DADOS-CUSTO TOTAL'!#REF!</f>
        <v>#REF!</v>
      </c>
      <c r="D35" s="296" t="e">
        <f>'BANCO DADOS-CUSTO TOTAL'!#REF!</f>
        <v>#REF!</v>
      </c>
      <c r="E35" s="306" t="e">
        <f t="shared" si="0"/>
        <v>#REF!</v>
      </c>
      <c r="F35" s="310"/>
    </row>
    <row r="36" spans="2:6">
      <c r="B36" s="300" t="s">
        <v>3423</v>
      </c>
      <c r="C36" s="301" t="e">
        <f>SUM(C9:C35)</f>
        <v>#REF!</v>
      </c>
      <c r="D36" s="301" t="e">
        <f>SUM(D9:D35)</f>
        <v>#REF!</v>
      </c>
      <c r="E36" s="307" t="e">
        <f>SUM(E9:E35)</f>
        <v>#REF!</v>
      </c>
      <c r="F36" s="311"/>
    </row>
    <row r="37" spans="2:6">
      <c r="D37" s="298"/>
    </row>
  </sheetData>
  <mergeCells count="1">
    <mergeCell ref="B3:F3"/>
  </mergeCells>
  <pageMargins left="0.511811024" right="0.511811024" top="0.78740157499999996" bottom="0.78740157499999996" header="0.31496062000000002" footer="0.31496062000000002"/>
  <pageSetup paperSize="9"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2"/>
  <dimension ref="A1:I28"/>
  <sheetViews>
    <sheetView workbookViewId="0">
      <selection activeCell="A2" sqref="A2"/>
    </sheetView>
  </sheetViews>
  <sheetFormatPr defaultRowHeight="12.75"/>
  <cols>
    <col min="1" max="1" width="27" customWidth="1"/>
    <col min="2" max="2" width="49.7109375" bestFit="1" customWidth="1"/>
    <col min="3" max="3" width="13.7109375" customWidth="1"/>
    <col min="4" max="4" width="12.140625" customWidth="1"/>
    <col min="5" max="5" width="15.140625" customWidth="1"/>
    <col min="6" max="6" width="13.7109375" customWidth="1"/>
    <col min="7" max="7" width="17.85546875" customWidth="1"/>
    <col min="8" max="8" width="15" customWidth="1"/>
    <col min="9" max="9" width="15.7109375" customWidth="1"/>
    <col min="10" max="10" width="49.7109375" bestFit="1" customWidth="1"/>
  </cols>
  <sheetData>
    <row r="1" spans="1:9" ht="26.25" thickBot="1">
      <c r="A1" s="193" t="s">
        <v>3292</v>
      </c>
      <c r="B1" s="193" t="s">
        <v>3293</v>
      </c>
      <c r="C1" s="203" t="s">
        <v>3288</v>
      </c>
      <c r="D1" s="204" t="s">
        <v>3156</v>
      </c>
      <c r="E1" s="205" t="s">
        <v>3155</v>
      </c>
      <c r="F1" s="204" t="s">
        <v>3289</v>
      </c>
      <c r="G1" s="205" t="s">
        <v>3290</v>
      </c>
      <c r="H1" s="206" t="s">
        <v>3291</v>
      </c>
      <c r="I1" s="206" t="s">
        <v>3402</v>
      </c>
    </row>
    <row r="2" spans="1:9">
      <c r="A2" s="183" t="s">
        <v>3244</v>
      </c>
      <c r="B2" s="194" t="s">
        <v>3245</v>
      </c>
      <c r="C2" s="207">
        <v>0</v>
      </c>
      <c r="D2" s="207">
        <v>0</v>
      </c>
      <c r="E2" s="207">
        <v>0</v>
      </c>
      <c r="F2" s="207">
        <v>0</v>
      </c>
      <c r="G2" s="207">
        <v>14</v>
      </c>
      <c r="H2" s="207">
        <v>0</v>
      </c>
      <c r="I2" s="273">
        <v>2507.27</v>
      </c>
    </row>
    <row r="3" spans="1:9">
      <c r="A3" s="183" t="s">
        <v>3246</v>
      </c>
      <c r="B3" s="194" t="s">
        <v>3247</v>
      </c>
      <c r="C3" s="207">
        <v>0</v>
      </c>
      <c r="D3" s="207">
        <v>0</v>
      </c>
      <c r="E3" s="207">
        <v>0</v>
      </c>
      <c r="F3" s="207">
        <v>0</v>
      </c>
      <c r="G3" s="207">
        <v>14</v>
      </c>
      <c r="H3" s="207">
        <v>0</v>
      </c>
      <c r="I3" s="274">
        <v>2507.27</v>
      </c>
    </row>
    <row r="4" spans="1:9">
      <c r="A4" s="184" t="s">
        <v>3248</v>
      </c>
      <c r="B4" s="195" t="s">
        <v>3249</v>
      </c>
      <c r="C4" s="207">
        <v>0</v>
      </c>
      <c r="D4" s="207">
        <v>0</v>
      </c>
      <c r="E4" s="207">
        <v>0</v>
      </c>
      <c r="F4" s="207">
        <v>0</v>
      </c>
      <c r="G4" s="207">
        <v>12.7</v>
      </c>
      <c r="H4" s="207">
        <v>0</v>
      </c>
      <c r="I4" s="275">
        <v>2289.75</v>
      </c>
    </row>
    <row r="5" spans="1:9">
      <c r="A5" s="184" t="s">
        <v>3250</v>
      </c>
      <c r="B5" s="196" t="s">
        <v>3251</v>
      </c>
      <c r="C5" s="207">
        <v>0</v>
      </c>
      <c r="D5" s="207">
        <v>0</v>
      </c>
      <c r="E5" s="207">
        <v>0</v>
      </c>
      <c r="F5" s="207">
        <v>0</v>
      </c>
      <c r="G5" s="207">
        <v>12.7</v>
      </c>
      <c r="H5" s="207">
        <v>0</v>
      </c>
      <c r="I5" s="275">
        <v>2289.75</v>
      </c>
    </row>
    <row r="6" spans="1:9">
      <c r="A6" s="183" t="s">
        <v>3252</v>
      </c>
      <c r="B6" s="197" t="s">
        <v>3253</v>
      </c>
      <c r="C6" s="207">
        <v>0</v>
      </c>
      <c r="D6" s="207">
        <v>0</v>
      </c>
      <c r="E6" s="207">
        <v>0</v>
      </c>
      <c r="F6" s="207">
        <v>0</v>
      </c>
      <c r="G6" s="207">
        <v>14</v>
      </c>
      <c r="H6" s="207">
        <v>0</v>
      </c>
      <c r="I6" s="276">
        <v>2507.27</v>
      </c>
    </row>
    <row r="7" spans="1:9">
      <c r="A7" s="184" t="s">
        <v>3254</v>
      </c>
      <c r="B7" s="196" t="s">
        <v>3255</v>
      </c>
      <c r="C7" s="207">
        <v>0</v>
      </c>
      <c r="D7" s="207">
        <v>0</v>
      </c>
      <c r="E7" s="207">
        <v>0</v>
      </c>
      <c r="F7" s="207">
        <v>0</v>
      </c>
      <c r="G7" s="207">
        <v>12.7</v>
      </c>
      <c r="H7" s="207">
        <v>0</v>
      </c>
      <c r="I7" s="275">
        <v>2289.75</v>
      </c>
    </row>
    <row r="8" spans="1:9">
      <c r="A8" s="185" t="s">
        <v>3294</v>
      </c>
      <c r="B8" s="194" t="s">
        <v>3256</v>
      </c>
      <c r="C8" s="207">
        <v>0</v>
      </c>
      <c r="D8" s="207">
        <v>0</v>
      </c>
      <c r="E8" s="207">
        <v>0</v>
      </c>
      <c r="F8" s="207">
        <v>0</v>
      </c>
      <c r="G8" s="207">
        <v>14</v>
      </c>
      <c r="H8" s="207">
        <v>0</v>
      </c>
      <c r="I8" s="276">
        <v>2507.27</v>
      </c>
    </row>
    <row r="9" spans="1:9">
      <c r="A9" s="183" t="s">
        <v>3257</v>
      </c>
      <c r="B9" s="198" t="s">
        <v>3258</v>
      </c>
      <c r="C9" s="207">
        <v>0</v>
      </c>
      <c r="D9" s="207">
        <v>0</v>
      </c>
      <c r="E9" s="207">
        <v>0</v>
      </c>
      <c r="F9" s="207">
        <v>0</v>
      </c>
      <c r="G9" s="207">
        <v>14</v>
      </c>
      <c r="H9" s="207">
        <v>0</v>
      </c>
      <c r="I9" s="273">
        <v>2507.27</v>
      </c>
    </row>
    <row r="10" spans="1:9">
      <c r="A10" s="183" t="s">
        <v>3259</v>
      </c>
      <c r="B10" s="197" t="s">
        <v>3260</v>
      </c>
      <c r="C10" s="207">
        <v>0</v>
      </c>
      <c r="D10" s="207">
        <v>0</v>
      </c>
      <c r="E10" s="207">
        <v>0</v>
      </c>
      <c r="F10" s="207">
        <v>0</v>
      </c>
      <c r="G10" s="207">
        <v>14</v>
      </c>
      <c r="H10" s="207">
        <v>0</v>
      </c>
      <c r="I10" s="276">
        <v>2507.27</v>
      </c>
    </row>
    <row r="11" spans="1:9">
      <c r="A11" s="184" t="s">
        <v>3261</v>
      </c>
      <c r="B11" s="196" t="s">
        <v>3262</v>
      </c>
      <c r="C11" s="207">
        <v>0</v>
      </c>
      <c r="D11" s="207">
        <v>0</v>
      </c>
      <c r="E11" s="207">
        <v>0</v>
      </c>
      <c r="F11" s="207">
        <v>0</v>
      </c>
      <c r="G11" s="207">
        <v>10.1</v>
      </c>
      <c r="H11" s="207">
        <v>0</v>
      </c>
      <c r="I11" s="277">
        <v>2361.91</v>
      </c>
    </row>
    <row r="12" spans="1:9">
      <c r="A12" s="183" t="s">
        <v>3263</v>
      </c>
      <c r="B12" s="194" t="s">
        <v>3264</v>
      </c>
      <c r="C12" s="207">
        <v>0</v>
      </c>
      <c r="D12" s="207">
        <v>0</v>
      </c>
      <c r="E12" s="207">
        <v>0</v>
      </c>
      <c r="F12" s="207">
        <v>0</v>
      </c>
      <c r="G12" s="207">
        <v>14</v>
      </c>
      <c r="H12" s="207">
        <v>0</v>
      </c>
      <c r="I12" s="276">
        <v>2507.27</v>
      </c>
    </row>
    <row r="13" spans="1:9">
      <c r="A13" s="183" t="s">
        <v>3265</v>
      </c>
      <c r="B13" s="194" t="s">
        <v>3266</v>
      </c>
      <c r="C13" s="207">
        <v>0</v>
      </c>
      <c r="D13" s="207">
        <v>0</v>
      </c>
      <c r="E13" s="207">
        <v>0</v>
      </c>
      <c r="F13" s="207">
        <v>0</v>
      </c>
      <c r="G13" s="207">
        <v>14</v>
      </c>
      <c r="H13" s="207">
        <v>0</v>
      </c>
      <c r="I13" s="276">
        <v>2507.27</v>
      </c>
    </row>
    <row r="14" spans="1:9">
      <c r="A14" s="183" t="s">
        <v>3267</v>
      </c>
      <c r="B14" s="194" t="s">
        <v>3268</v>
      </c>
      <c r="C14" s="207">
        <v>0</v>
      </c>
      <c r="D14" s="207">
        <v>0</v>
      </c>
      <c r="E14" s="207">
        <v>0</v>
      </c>
      <c r="F14" s="207">
        <v>0</v>
      </c>
      <c r="G14" s="207">
        <v>14</v>
      </c>
      <c r="H14" s="207">
        <v>0</v>
      </c>
      <c r="I14" s="273">
        <v>2507.27</v>
      </c>
    </row>
    <row r="15" spans="1:9">
      <c r="A15" s="183" t="s">
        <v>3269</v>
      </c>
      <c r="B15" s="194" t="s">
        <v>3270</v>
      </c>
      <c r="C15" s="207">
        <v>0</v>
      </c>
      <c r="D15" s="207">
        <v>0</v>
      </c>
      <c r="E15" s="207">
        <v>0</v>
      </c>
      <c r="F15" s="207">
        <v>0</v>
      </c>
      <c r="G15" s="207">
        <v>14</v>
      </c>
      <c r="H15" s="207">
        <v>0</v>
      </c>
      <c r="I15" s="273">
        <v>2507.27</v>
      </c>
    </row>
    <row r="16" spans="1:9">
      <c r="A16" s="183" t="s">
        <v>3271</v>
      </c>
      <c r="B16" s="194" t="s">
        <v>3272</v>
      </c>
      <c r="C16" s="207">
        <v>0</v>
      </c>
      <c r="D16" s="207">
        <v>0</v>
      </c>
      <c r="E16" s="207">
        <v>0</v>
      </c>
      <c r="F16" s="207">
        <v>0</v>
      </c>
      <c r="G16" s="207">
        <v>14</v>
      </c>
      <c r="H16" s="207">
        <v>0</v>
      </c>
      <c r="I16" s="276">
        <v>2507.27</v>
      </c>
    </row>
    <row r="17" spans="1:9">
      <c r="A17" s="184" t="s">
        <v>3299</v>
      </c>
      <c r="B17" s="196" t="s">
        <v>3273</v>
      </c>
      <c r="C17" s="207">
        <v>0</v>
      </c>
      <c r="D17" s="207">
        <v>0</v>
      </c>
      <c r="E17" s="207">
        <v>0</v>
      </c>
      <c r="F17" s="207">
        <v>0</v>
      </c>
      <c r="G17" s="207">
        <v>12.7</v>
      </c>
      <c r="H17" s="207">
        <v>0</v>
      </c>
      <c r="I17" s="278">
        <v>2289.75</v>
      </c>
    </row>
    <row r="18" spans="1:9">
      <c r="A18" s="186" t="s">
        <v>3274</v>
      </c>
      <c r="B18" s="196" t="s">
        <v>3275</v>
      </c>
      <c r="C18" s="207">
        <v>0</v>
      </c>
      <c r="D18" s="207">
        <v>0</v>
      </c>
      <c r="E18" s="207">
        <v>0</v>
      </c>
      <c r="F18" s="207">
        <v>0</v>
      </c>
      <c r="G18" s="207">
        <v>12.7</v>
      </c>
      <c r="H18" s="207">
        <v>0</v>
      </c>
      <c r="I18" s="275">
        <v>2289.75</v>
      </c>
    </row>
    <row r="19" spans="1:9">
      <c r="A19" s="183" t="s">
        <v>3295</v>
      </c>
      <c r="B19" s="194" t="s">
        <v>3276</v>
      </c>
      <c r="C19" s="207">
        <v>0</v>
      </c>
      <c r="D19" s="207">
        <v>0</v>
      </c>
      <c r="E19" s="207">
        <v>0</v>
      </c>
      <c r="F19" s="207">
        <v>0</v>
      </c>
      <c r="G19" s="207">
        <v>14</v>
      </c>
      <c r="H19" s="207">
        <v>0</v>
      </c>
      <c r="I19" s="273">
        <v>2507.27</v>
      </c>
    </row>
    <row r="20" spans="1:9">
      <c r="A20" s="183" t="s">
        <v>3277</v>
      </c>
      <c r="B20" s="197" t="s">
        <v>3268</v>
      </c>
      <c r="C20" s="207">
        <v>0</v>
      </c>
      <c r="D20" s="207">
        <v>0</v>
      </c>
      <c r="E20" s="207">
        <v>0</v>
      </c>
      <c r="F20" s="207">
        <v>0</v>
      </c>
      <c r="G20" s="207">
        <v>14</v>
      </c>
      <c r="H20" s="207">
        <v>0</v>
      </c>
      <c r="I20" s="276">
        <v>2507.27</v>
      </c>
    </row>
    <row r="21" spans="1:9">
      <c r="A21" s="187" t="s">
        <v>3300</v>
      </c>
      <c r="B21" s="199" t="s">
        <v>3278</v>
      </c>
      <c r="C21" s="207">
        <v>0</v>
      </c>
      <c r="D21" s="207">
        <v>0</v>
      </c>
      <c r="E21" s="207">
        <v>0</v>
      </c>
      <c r="F21" s="207">
        <v>0</v>
      </c>
      <c r="G21" s="207">
        <v>9.8000000000000007</v>
      </c>
      <c r="H21" s="207">
        <v>0</v>
      </c>
      <c r="I21" s="279">
        <v>2110.36</v>
      </c>
    </row>
    <row r="22" spans="1:9">
      <c r="A22" s="183" t="s">
        <v>3279</v>
      </c>
      <c r="B22" s="194" t="s">
        <v>3280</v>
      </c>
      <c r="C22" s="207">
        <v>0</v>
      </c>
      <c r="D22" s="207">
        <v>0</v>
      </c>
      <c r="E22" s="207">
        <v>0</v>
      </c>
      <c r="F22" s="207">
        <v>0</v>
      </c>
      <c r="G22" s="207">
        <v>14</v>
      </c>
      <c r="H22" s="207">
        <v>0</v>
      </c>
      <c r="I22" s="280">
        <v>2507.27</v>
      </c>
    </row>
    <row r="23" spans="1:9">
      <c r="A23" s="188" t="s">
        <v>3298</v>
      </c>
      <c r="B23" s="199" t="s">
        <v>3281</v>
      </c>
      <c r="C23" s="207">
        <v>0</v>
      </c>
      <c r="D23" s="207">
        <v>0</v>
      </c>
      <c r="E23" s="207">
        <v>0</v>
      </c>
      <c r="F23" s="207">
        <v>0</v>
      </c>
      <c r="G23" s="207">
        <v>9.8000000000000007</v>
      </c>
      <c r="H23" s="207">
        <v>0</v>
      </c>
      <c r="I23" s="279">
        <v>2110.36</v>
      </c>
    </row>
    <row r="24" spans="1:9">
      <c r="A24" s="189" t="s">
        <v>3297</v>
      </c>
      <c r="B24" s="194" t="s">
        <v>3282</v>
      </c>
      <c r="C24" s="207">
        <v>0</v>
      </c>
      <c r="D24" s="207">
        <v>0</v>
      </c>
      <c r="E24" s="207">
        <v>0</v>
      </c>
      <c r="F24" s="207">
        <v>0</v>
      </c>
      <c r="G24" s="207">
        <v>14</v>
      </c>
      <c r="H24" s="207">
        <v>0</v>
      </c>
      <c r="I24" s="276">
        <v>2507.27</v>
      </c>
    </row>
    <row r="25" spans="1:9">
      <c r="A25" s="190" t="s">
        <v>3283</v>
      </c>
      <c r="B25" s="200" t="s">
        <v>3284</v>
      </c>
      <c r="C25" s="207">
        <v>0</v>
      </c>
      <c r="D25" s="207">
        <v>0</v>
      </c>
      <c r="E25" s="207">
        <v>0</v>
      </c>
      <c r="F25" s="207">
        <v>0</v>
      </c>
      <c r="G25" s="207">
        <v>9.8000000000000007</v>
      </c>
      <c r="H25" s="207">
        <v>0</v>
      </c>
      <c r="I25" s="279">
        <v>2110.36</v>
      </c>
    </row>
    <row r="26" spans="1:9">
      <c r="A26" s="191" t="s">
        <v>3296</v>
      </c>
      <c r="B26" s="201" t="s">
        <v>3285</v>
      </c>
      <c r="C26" s="207">
        <v>0</v>
      </c>
      <c r="D26" s="207">
        <v>0</v>
      </c>
      <c r="E26" s="207">
        <v>0</v>
      </c>
      <c r="F26" s="207">
        <v>0</v>
      </c>
      <c r="G26" s="207">
        <v>14</v>
      </c>
      <c r="H26" s="207">
        <v>0</v>
      </c>
      <c r="I26" s="276">
        <v>2507.27</v>
      </c>
    </row>
    <row r="27" spans="1:9" ht="13.5" thickBot="1">
      <c r="A27" s="192" t="s">
        <v>3286</v>
      </c>
      <c r="B27" s="202" t="s">
        <v>3268</v>
      </c>
      <c r="C27" s="207">
        <v>0</v>
      </c>
      <c r="D27" s="207">
        <v>0</v>
      </c>
      <c r="E27" s="207">
        <v>0</v>
      </c>
      <c r="F27" s="207">
        <v>0</v>
      </c>
      <c r="G27" s="207">
        <v>14</v>
      </c>
      <c r="H27" s="207">
        <v>0</v>
      </c>
      <c r="I27" s="276">
        <v>2507.27</v>
      </c>
    </row>
    <row r="28" spans="1:9" ht="13.5" thickBot="1">
      <c r="A28" s="183" t="s">
        <v>3287</v>
      </c>
      <c r="B28" s="202" t="s">
        <v>3276</v>
      </c>
      <c r="C28" s="207">
        <v>0</v>
      </c>
      <c r="D28" s="207">
        <v>0</v>
      </c>
      <c r="E28" s="207">
        <v>0</v>
      </c>
      <c r="F28" s="207">
        <v>0</v>
      </c>
      <c r="G28" s="207">
        <v>14</v>
      </c>
      <c r="H28" s="207">
        <v>0</v>
      </c>
      <c r="I28" s="281">
        <v>2507.27</v>
      </c>
    </row>
  </sheetData>
  <hyperlinks>
    <hyperlink ref="A2" location="'MOTORISTA BARBACENA'!A1" display="Barbacena"/>
    <hyperlink ref="A3" location="'MOTORISTA BETIM'!A1" display="Betim"/>
    <hyperlink ref="A4" location="'MOTORISTA CARATINGA'!A1" display="Caratinga"/>
    <hyperlink ref="A5" location="'MOTORISTA CONSELHEIRO LAFAIETE'!A1" display="Conselheiro Lafaiete"/>
    <hyperlink ref="A6" location="'MOTORISTA CONTAGEM'!A1" display="Contagem"/>
    <hyperlink ref="A7" location="'MOTORISTA DIAMANTINA'!A1" display="Diamantina"/>
    <hyperlink ref="A8" location="'MOTORISTA DIVINÓPOLIS'!A1" display="Divinópolis"/>
    <hyperlink ref="A9" location="'MOTORISTA GOV. VALADARES'!A1" display="Governador Valadares"/>
    <hyperlink ref="A10" location="'MOTORISTA ITUIUTABA'!A1" display="Ituiutaba"/>
    <hyperlink ref="A11" location="'MOTORISTA JUIZ DE FORA'!A1" display="Juiz de Fora"/>
    <hyperlink ref="A12" location="'MOTORISTA LAVRAS'!A1" display="Lavras"/>
    <hyperlink ref="A13" location="'MOTORISTA MONTES CLAROS'!A1" display="Montes Claros"/>
    <hyperlink ref="A14" location="'MOTORISTA NOVA LIMA'!A1" display="Nova Lima"/>
    <hyperlink ref="A15" location="'MOTORISTA PASSOS'!A1" display="Passos"/>
    <hyperlink ref="A16" location="'MOTORISTA PATOS DE MINAS'!A1" display="Patos de Minas"/>
    <hyperlink ref="A17" location="'MOTORISTA POÇOS DE CALDAS'!A1" display="Poços de Caldas"/>
    <hyperlink ref="A18" location="'MOTORISTA POUSO ALEGRE'!A1" display="Pouso Alegre"/>
    <hyperlink ref="A19" location="'MOTORISTA RIBEIRÃO DAS NEVES'!A1" display="Ribeirão das Neves"/>
    <hyperlink ref="A20" location="'MOTORISTA SANTA LUZIA'!A1" display="Santa Luzia"/>
    <hyperlink ref="A21" location="'MOTORISTA SÃO JOAO DEL REI'!A1" display="São João Del Rey"/>
    <hyperlink ref="A22" location="'MOTORISTA SETE LAGOAS'!A1" display="Sete Lagoas"/>
    <hyperlink ref="A23" location="'MOTORISTA TEÓFILO OTONI'!A1" display="Teófilo Otoni"/>
    <hyperlink ref="A24" location="'MOTORISTA UBÁ'!A1" display="Ubá"/>
    <hyperlink ref="A25" location="'MOTORISTA UBERABA'!A1" display="Uberaba"/>
    <hyperlink ref="A26" location="'MOTORISTA UBERLANDIA'!A1" display="Uberlândia"/>
    <hyperlink ref="A27" location="'MOTORISTA VESPASIANO'!A1" display="Vespasiano"/>
    <hyperlink ref="A28" location="'MOTORISTAS BH'!A1" display="Belo Horizonte"/>
  </hyperlink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15</vt:i4>
      </vt:variant>
      <vt:variant>
        <vt:lpstr>Intervalos nomeados</vt:lpstr>
      </vt:variant>
      <vt:variant>
        <vt:i4>8</vt:i4>
      </vt:variant>
    </vt:vector>
  </HeadingPairs>
  <TitlesOfParts>
    <vt:vector size="23" baseType="lpstr">
      <vt:lpstr>INSTRUÇÕES</vt:lpstr>
      <vt:lpstr>BANCO DADOS-CUSTO TOTAL</vt:lpstr>
      <vt:lpstr>REL. VA E VT</vt:lpstr>
      <vt:lpstr>REL. VT</vt:lpstr>
      <vt:lpstr>CIDADE</vt:lpstr>
      <vt:lpstr>PARAMETROS</vt:lpstr>
      <vt:lpstr>ISS</vt:lpstr>
      <vt:lpstr>RESUMO FATURAMENTO MENSAL</vt:lpstr>
      <vt:lpstr>Parametro e CCT</vt:lpstr>
      <vt:lpstr>Plan. Trib.</vt:lpstr>
      <vt:lpstr>Uniforme Apoio</vt:lpstr>
      <vt:lpstr>Custo salário remuneração</vt:lpstr>
      <vt:lpstr>VA E VT - APOIO.LIMPEZA</vt:lpstr>
      <vt:lpstr>Repactuação conta vinculada </vt:lpstr>
      <vt:lpstr>Plan4</vt:lpstr>
      <vt:lpstr>'BANCO DADOS-CUSTO TOTAL'!Area_de_impressao</vt:lpstr>
      <vt:lpstr>'Custo salário remuneração'!Area_de_impressao</vt:lpstr>
      <vt:lpstr>INSTRUÇÕES!Area_de_impressao</vt:lpstr>
      <vt:lpstr>'VA E VT - APOIO.LIMPEZA'!Area_de_impressao</vt:lpstr>
      <vt:lpstr>BD</vt:lpstr>
      <vt:lpstr>'Custo salário remuneração'!motorista</vt:lpstr>
      <vt:lpstr>'BANCO DADOS-CUSTO TOTAL'!Titulos_de_impressao</vt:lpstr>
      <vt:lpstr>'VA E VT - APOIO.LIMPEZA'!Titulos_de_impressao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Viviane Jesus - Geaco</dc:creator>
  <cp:lastModifiedBy>Juliana Silva Teixeira</cp:lastModifiedBy>
  <cp:lastPrinted>2016-11-07T13:48:00Z</cp:lastPrinted>
  <dcterms:created xsi:type="dcterms:W3CDTF">2013-04-17T18:15:48Z</dcterms:created>
  <dcterms:modified xsi:type="dcterms:W3CDTF">2017-06-07T14:32:19Z</dcterms:modified>
</cp:coreProperties>
</file>